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6.xml" ContentType="application/vnd.openxmlformats-officedocument.drawingml.chartshapes+xml"/>
  <Override PartName="/xl/charts/chart18.xml" ContentType="application/vnd.openxmlformats-officedocument.drawingml.chart+xml"/>
  <Override PartName="/xl/drawings/drawing7.xml" ContentType="application/vnd.openxmlformats-officedocument.drawingml.chartshape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8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9.xml" ContentType="application/vnd.openxmlformats-officedocument.drawingml.chartshapes+xml"/>
  <Override PartName="/xl/charts/chart28.xml" ContentType="application/vnd.openxmlformats-officedocument.drawingml.chart+xml"/>
  <Override PartName="/xl/drawings/drawing10.xml" ContentType="application/vnd.openxmlformats-officedocument.drawingml.chartshapes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12.xml" ContentType="application/vnd.openxmlformats-officedocument.drawingml.chartshapes+xml"/>
  <Override PartName="/xl/charts/chart38.xml" ContentType="application/vnd.openxmlformats-officedocument.drawingml.chart+xml"/>
  <Override PartName="/xl/drawings/drawing13.xml" ContentType="application/vnd.openxmlformats-officedocument.drawingml.chartshapes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4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4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44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4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47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48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49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5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D:\Dropbox\AA_TALLER\SANMARINO\PLANTILLAS POLLO\"/>
    </mc:Choice>
  </mc:AlternateContent>
  <xr:revisionPtr revIDLastSave="0" documentId="13_ncr:1_{5C9E2ED7-BA98-49D8-A998-D953F55D6386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Gsh" sheetId="30" state="veryHidden" r:id="rId1"/>
    <sheet name="G1" sheetId="5" r:id="rId2"/>
    <sheet name="G2" sheetId="7" r:id="rId3"/>
    <sheet name="G3" sheetId="26" r:id="rId4"/>
    <sheet name="G4" sheetId="27" r:id="rId5"/>
    <sheet name="Con" sheetId="8" r:id="rId6"/>
    <sheet name="Liq-Zoot" sheetId="10" r:id="rId7"/>
    <sheet name="COSTOS" sheetId="11" r:id="rId8"/>
    <sheet name="Cons Sem" sheetId="13" r:id="rId9"/>
    <sheet name="Cumpl Sem" sheetId="12" r:id="rId10"/>
    <sheet name="Cons Ac" sheetId="15" r:id="rId11"/>
    <sheet name="Pesos" sheetId="16" r:id="rId12"/>
    <sheet name="Cumpl Ac" sheetId="14" r:id="rId13"/>
    <sheet name="Eficiencia" sheetId="18" r:id="rId14"/>
    <sheet name="IP" sheetId="24" r:id="rId15"/>
    <sheet name="Biomasa" sheetId="25" r:id="rId16"/>
    <sheet name="TK" sheetId="29" r:id="rId17"/>
  </sheets>
  <definedNames>
    <definedName name="_xlnm._FilterDatabase" localSheetId="5" hidden="1">Con!$B$5:$B$61</definedName>
    <definedName name="_xlnm._FilterDatabase" localSheetId="7" hidden="1">COSTOS!$A$4:$A$31</definedName>
    <definedName name="_xlnm._FilterDatabase" localSheetId="1" hidden="1">'G1'!$B$5:$B$61</definedName>
    <definedName name="_xlnm._FilterDatabase" localSheetId="2" hidden="1">'G2'!$B$5:$B$61</definedName>
    <definedName name="_xlnm._FilterDatabase" localSheetId="3" hidden="1">'G3'!$B$5:$B$61</definedName>
    <definedName name="_xlnm._FilterDatabase" localSheetId="4" hidden="1">'G4'!$B$5:$B$61</definedName>
    <definedName name="_xlnm._FilterDatabase" localSheetId="6" hidden="1">'Liq-Zoot'!$A$2:$A$33</definedName>
    <definedName name="_xlnm.Print_Area" localSheetId="5">Con!$A$1:$BG$61</definedName>
    <definedName name="_xlnm.Print_Area" localSheetId="1">'G1'!$A$1:$BG$61</definedName>
    <definedName name="_xlnm.Print_Area" localSheetId="2">'G2'!$A$1:$BG$61</definedName>
    <definedName name="_xlnm.Print_Area" localSheetId="3">'G3'!$A$1:$BG$61</definedName>
    <definedName name="_xlnm.Print_Area" localSheetId="4">'G4'!$A$1:$BG$61</definedName>
    <definedName name="CV">'Liq-Zoot'!$B$26:$B$26</definedName>
    <definedName name="EFA">'Liq-Zoot'!$B$27:$B$27</definedName>
    <definedName name="IP">'Liq-Zoot'!$B$28:$B$28</definedName>
    <definedName name="RAZAS">TGsh!$J$4:$J$8</definedName>
    <definedName name="SUPV">'Liq-Zoot'!$B$9:$B$9</definedName>
    <definedName name="_xlnm.Print_Titles" localSheetId="5">Con!$1:$5</definedName>
    <definedName name="_xlnm.Print_Titles" localSheetId="1">'G1'!$1:$5</definedName>
    <definedName name="_xlnm.Print_Titles" localSheetId="2">'G2'!$1:$5</definedName>
    <definedName name="_xlnm.Print_Titles" localSheetId="3">'G3'!$1:$5</definedName>
    <definedName name="_xlnm.Print_Titles" localSheetId="4">'G4'!$1:$5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4" i="29" l="1"/>
  <c r="J8" i="30"/>
  <c r="J7" i="30"/>
  <c r="J6" i="30"/>
  <c r="J5" i="30"/>
  <c r="J4" i="30"/>
  <c r="M3" i="27"/>
  <c r="M3" i="26"/>
  <c r="M3" i="7"/>
  <c r="C2" i="30"/>
  <c r="G57" i="30" s="1"/>
  <c r="N53" i="29"/>
  <c r="N54" i="29" s="1"/>
  <c r="N55" i="29" s="1"/>
  <c r="N56" i="29" s="1"/>
  <c r="N57" i="29" s="1"/>
  <c r="N58" i="29" s="1"/>
  <c r="M59" i="29" s="1"/>
  <c r="T53" i="29"/>
  <c r="T54" i="29" s="1"/>
  <c r="T55" i="29" s="1"/>
  <c r="T56" i="29" s="1"/>
  <c r="T57" i="29" s="1"/>
  <c r="T58" i="29" s="1"/>
  <c r="S59" i="29" s="1"/>
  <c r="Z53" i="29"/>
  <c r="AF53" i="29"/>
  <c r="AF54" i="29"/>
  <c r="H59" i="30"/>
  <c r="N59" i="7" s="1"/>
  <c r="N11" i="7"/>
  <c r="N18" i="7" s="1"/>
  <c r="N25" i="7" s="1"/>
  <c r="N32" i="7" s="1"/>
  <c r="N39" i="7" s="1"/>
  <c r="N46" i="7" s="1"/>
  <c r="N53" i="7" s="1"/>
  <c r="G53" i="30"/>
  <c r="G55" i="30"/>
  <c r="G59" i="30"/>
  <c r="N6" i="7"/>
  <c r="N55" i="7" s="1"/>
  <c r="H52" i="30"/>
  <c r="N52" i="7" s="1"/>
  <c r="G46" i="30"/>
  <c r="G47" i="30"/>
  <c r="G49" i="30"/>
  <c r="G50" i="30"/>
  <c r="G51" i="30"/>
  <c r="G52" i="30"/>
  <c r="N48" i="7"/>
  <c r="H45" i="30"/>
  <c r="N45" i="7" s="1"/>
  <c r="G39" i="30"/>
  <c r="G41" i="30"/>
  <c r="G42" i="30"/>
  <c r="G43" i="30"/>
  <c r="G44" i="30"/>
  <c r="G45" i="30"/>
  <c r="N41" i="7"/>
  <c r="H38" i="30"/>
  <c r="N38" i="7" s="1"/>
  <c r="G32" i="30"/>
  <c r="G33" i="30"/>
  <c r="G34" i="30"/>
  <c r="G35" i="30"/>
  <c r="G36" i="30"/>
  <c r="G37" i="30"/>
  <c r="G38" i="30"/>
  <c r="H31" i="30"/>
  <c r="N31" i="7" s="1"/>
  <c r="G25" i="30"/>
  <c r="G26" i="30"/>
  <c r="G27" i="30"/>
  <c r="G28" i="30"/>
  <c r="G29" i="30"/>
  <c r="G30" i="30"/>
  <c r="G31" i="30"/>
  <c r="H24" i="30"/>
  <c r="G18" i="30"/>
  <c r="G19" i="30"/>
  <c r="G20" i="30"/>
  <c r="G21" i="30"/>
  <c r="G22" i="30"/>
  <c r="G23" i="30"/>
  <c r="G24" i="30"/>
  <c r="N20" i="7"/>
  <c r="N11" i="26"/>
  <c r="N18" i="26"/>
  <c r="N25" i="26" s="1"/>
  <c r="N6" i="26"/>
  <c r="N11" i="27"/>
  <c r="N18" i="27"/>
  <c r="N25" i="27" s="1"/>
  <c r="N6" i="27"/>
  <c r="N34" i="27" s="1"/>
  <c r="N41" i="27"/>
  <c r="N38" i="27"/>
  <c r="M2" i="8"/>
  <c r="M1" i="8"/>
  <c r="N2" i="8"/>
  <c r="N1" i="8"/>
  <c r="D6" i="8"/>
  <c r="E6" i="8"/>
  <c r="F6" i="8"/>
  <c r="D7" i="8"/>
  <c r="E7" i="8"/>
  <c r="F7" i="8"/>
  <c r="D8" i="8"/>
  <c r="E8" i="8"/>
  <c r="F8" i="8"/>
  <c r="D9" i="8"/>
  <c r="E9" i="8"/>
  <c r="F9" i="8"/>
  <c r="D10" i="8"/>
  <c r="E10" i="8"/>
  <c r="F10" i="8"/>
  <c r="D11" i="8"/>
  <c r="E11" i="8"/>
  <c r="F11" i="8"/>
  <c r="D12" i="8"/>
  <c r="E12" i="8"/>
  <c r="F12" i="8"/>
  <c r="D13" i="8"/>
  <c r="E13" i="8"/>
  <c r="F13" i="8"/>
  <c r="D14" i="8"/>
  <c r="E14" i="8"/>
  <c r="F14" i="8"/>
  <c r="D15" i="8"/>
  <c r="E15" i="8"/>
  <c r="F15" i="8"/>
  <c r="D16" i="8"/>
  <c r="E16" i="8"/>
  <c r="F16" i="8"/>
  <c r="D17" i="8"/>
  <c r="E17" i="8"/>
  <c r="F17" i="8"/>
  <c r="D18" i="8"/>
  <c r="E18" i="8"/>
  <c r="F18" i="8"/>
  <c r="D19" i="8"/>
  <c r="E19" i="8"/>
  <c r="F19" i="8"/>
  <c r="D20" i="8"/>
  <c r="E20" i="8"/>
  <c r="F20" i="8"/>
  <c r="D21" i="8"/>
  <c r="E21" i="8"/>
  <c r="F21" i="8"/>
  <c r="D22" i="8"/>
  <c r="E22" i="8"/>
  <c r="F22" i="8"/>
  <c r="D23" i="8"/>
  <c r="E23" i="8"/>
  <c r="F23" i="8"/>
  <c r="D24" i="8"/>
  <c r="E24" i="8"/>
  <c r="F24" i="8"/>
  <c r="D25" i="8"/>
  <c r="E25" i="8"/>
  <c r="F25" i="8"/>
  <c r="D26" i="8"/>
  <c r="E26" i="8"/>
  <c r="F26" i="8"/>
  <c r="D27" i="8"/>
  <c r="E27" i="8"/>
  <c r="F27" i="8"/>
  <c r="D28" i="8"/>
  <c r="E28" i="8"/>
  <c r="F28" i="8"/>
  <c r="D29" i="8"/>
  <c r="E29" i="8"/>
  <c r="F29" i="8"/>
  <c r="D30" i="8"/>
  <c r="E30" i="8"/>
  <c r="F30" i="8"/>
  <c r="D31" i="8"/>
  <c r="E31" i="8"/>
  <c r="F31" i="8"/>
  <c r="D32" i="8"/>
  <c r="E32" i="8"/>
  <c r="F32" i="8"/>
  <c r="D33" i="8"/>
  <c r="E33" i="8"/>
  <c r="F33" i="8"/>
  <c r="D34" i="8"/>
  <c r="E34" i="8"/>
  <c r="F34" i="8"/>
  <c r="D35" i="8"/>
  <c r="E35" i="8"/>
  <c r="F35" i="8"/>
  <c r="D36" i="8"/>
  <c r="E36" i="8"/>
  <c r="F36" i="8"/>
  <c r="D37" i="8"/>
  <c r="E37" i="8"/>
  <c r="F37" i="8"/>
  <c r="D38" i="8"/>
  <c r="E38" i="8"/>
  <c r="F38" i="8"/>
  <c r="D39" i="8"/>
  <c r="E39" i="8"/>
  <c r="F39" i="8"/>
  <c r="D40" i="8"/>
  <c r="E40" i="8"/>
  <c r="F40" i="8"/>
  <c r="D41" i="8"/>
  <c r="E41" i="8"/>
  <c r="F41" i="8"/>
  <c r="D42" i="8"/>
  <c r="E42" i="8"/>
  <c r="F42" i="8"/>
  <c r="D43" i="8"/>
  <c r="E43" i="8"/>
  <c r="F43" i="8"/>
  <c r="D44" i="8"/>
  <c r="E44" i="8"/>
  <c r="F44" i="8"/>
  <c r="D45" i="8"/>
  <c r="E45" i="8"/>
  <c r="F45" i="8"/>
  <c r="D46" i="8"/>
  <c r="E46" i="8"/>
  <c r="F46" i="8"/>
  <c r="D47" i="8"/>
  <c r="E47" i="8"/>
  <c r="F47" i="8"/>
  <c r="D48" i="8"/>
  <c r="E48" i="8"/>
  <c r="F48" i="8"/>
  <c r="D49" i="8"/>
  <c r="E49" i="8"/>
  <c r="F49" i="8"/>
  <c r="D50" i="8"/>
  <c r="E50" i="8"/>
  <c r="F50" i="8"/>
  <c r="D51" i="8"/>
  <c r="E51" i="8"/>
  <c r="F51" i="8"/>
  <c r="D52" i="8"/>
  <c r="E52" i="8"/>
  <c r="F52" i="8"/>
  <c r="D53" i="8"/>
  <c r="E53" i="8"/>
  <c r="F53" i="8"/>
  <c r="D54" i="8"/>
  <c r="E54" i="8"/>
  <c r="F54" i="8"/>
  <c r="M3" i="5"/>
  <c r="J6" i="5" s="1"/>
  <c r="J7" i="5" s="1"/>
  <c r="J8" i="5" s="1"/>
  <c r="J9" i="5" s="1"/>
  <c r="J10" i="5" s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J49" i="5" s="1"/>
  <c r="J50" i="5" s="1"/>
  <c r="J51" i="5" s="1"/>
  <c r="J52" i="5" s="1"/>
  <c r="J53" i="5" s="1"/>
  <c r="J54" i="5" s="1"/>
  <c r="N6" i="8"/>
  <c r="N11" i="5"/>
  <c r="N18" i="5" s="1"/>
  <c r="N25" i="5"/>
  <c r="N32" i="5" s="1"/>
  <c r="N55" i="5"/>
  <c r="N48" i="5"/>
  <c r="N41" i="5"/>
  <c r="N34" i="5"/>
  <c r="N27" i="5"/>
  <c r="N20" i="5"/>
  <c r="H17" i="30"/>
  <c r="N17" i="26" s="1"/>
  <c r="N19" i="26" s="1"/>
  <c r="G11" i="30"/>
  <c r="G12" i="30"/>
  <c r="G13" i="30"/>
  <c r="G14" i="30"/>
  <c r="G15" i="30"/>
  <c r="G16" i="30"/>
  <c r="G17" i="30"/>
  <c r="H10" i="30"/>
  <c r="G4" i="30"/>
  <c r="G5" i="30"/>
  <c r="G6" i="30"/>
  <c r="G7" i="30"/>
  <c r="G8" i="30"/>
  <c r="G9" i="30"/>
  <c r="G10" i="30"/>
  <c r="E59" i="30"/>
  <c r="F59" i="30"/>
  <c r="Q1" i="7"/>
  <c r="M4" i="26"/>
  <c r="Q1" i="26"/>
  <c r="I61" i="26" s="1"/>
  <c r="M4" i="27"/>
  <c r="Q1" i="27"/>
  <c r="I61" i="27" s="1"/>
  <c r="Q1" i="8"/>
  <c r="I61" i="8" s="1"/>
  <c r="M4" i="5"/>
  <c r="I61" i="5"/>
  <c r="AL57" i="5"/>
  <c r="E52" i="30"/>
  <c r="F52" i="30"/>
  <c r="I54" i="26"/>
  <c r="I54" i="8"/>
  <c r="AL50" i="8"/>
  <c r="I54" i="5"/>
  <c r="AL50" i="5"/>
  <c r="E45" i="30"/>
  <c r="F45" i="30"/>
  <c r="I47" i="26"/>
  <c r="AL43" i="8"/>
  <c r="I47" i="5"/>
  <c r="AL43" i="5"/>
  <c r="E38" i="30"/>
  <c r="F38" i="30"/>
  <c r="I40" i="26"/>
  <c r="I40" i="8"/>
  <c r="AL36" i="8"/>
  <c r="I40" i="5"/>
  <c r="AL36" i="5"/>
  <c r="E31" i="30"/>
  <c r="F31" i="30"/>
  <c r="I33" i="26"/>
  <c r="AL29" i="27"/>
  <c r="I33" i="8"/>
  <c r="AL29" i="8"/>
  <c r="I33" i="5"/>
  <c r="AL29" i="5"/>
  <c r="E24" i="30"/>
  <c r="F24" i="30"/>
  <c r="I26" i="26"/>
  <c r="I26" i="8"/>
  <c r="AL22" i="8"/>
  <c r="I26" i="5"/>
  <c r="AL22" i="5"/>
  <c r="E17" i="30"/>
  <c r="F17" i="30"/>
  <c r="I19" i="26"/>
  <c r="I19" i="27"/>
  <c r="I19" i="8"/>
  <c r="AL15" i="8"/>
  <c r="I19" i="5"/>
  <c r="AL15" i="5"/>
  <c r="E10" i="30"/>
  <c r="F10" i="30"/>
  <c r="I12" i="26"/>
  <c r="AL8" i="27"/>
  <c r="I12" i="8"/>
  <c r="AL8" i="8"/>
  <c r="I12" i="5"/>
  <c r="AL8" i="5"/>
  <c r="C4" i="30"/>
  <c r="D4" i="30"/>
  <c r="AH6" i="26"/>
  <c r="AF6" i="26" s="1"/>
  <c r="C5" i="30"/>
  <c r="D5" i="30"/>
  <c r="AH7" i="26"/>
  <c r="C6" i="30"/>
  <c r="D6" i="30"/>
  <c r="AH8" i="26"/>
  <c r="C7" i="30"/>
  <c r="D7" i="30"/>
  <c r="AH9" i="26"/>
  <c r="C8" i="30"/>
  <c r="D8" i="30"/>
  <c r="AH10" i="26"/>
  <c r="C9" i="30"/>
  <c r="D9" i="30"/>
  <c r="AH11" i="26"/>
  <c r="C10" i="30"/>
  <c r="D10" i="30"/>
  <c r="AH12" i="26"/>
  <c r="C11" i="30"/>
  <c r="D11" i="30"/>
  <c r="AH13" i="26"/>
  <c r="C12" i="30"/>
  <c r="D12" i="30"/>
  <c r="AH14" i="26"/>
  <c r="C13" i="30"/>
  <c r="D13" i="30"/>
  <c r="AH15" i="26"/>
  <c r="C14" i="30"/>
  <c r="D14" i="30"/>
  <c r="AH16" i="26"/>
  <c r="C15" i="30"/>
  <c r="D15" i="30"/>
  <c r="AH17" i="26"/>
  <c r="C16" i="30"/>
  <c r="D16" i="30"/>
  <c r="AH18" i="26"/>
  <c r="C17" i="30"/>
  <c r="D17" i="30"/>
  <c r="AH19" i="26"/>
  <c r="C18" i="30"/>
  <c r="D18" i="30"/>
  <c r="AH20" i="26"/>
  <c r="C19" i="30"/>
  <c r="D19" i="30"/>
  <c r="AH21" i="26"/>
  <c r="C20" i="30"/>
  <c r="D20" i="30"/>
  <c r="AH22" i="26"/>
  <c r="C21" i="30"/>
  <c r="D21" i="30"/>
  <c r="AH23" i="26"/>
  <c r="C22" i="30"/>
  <c r="D22" i="30"/>
  <c r="AH24" i="26"/>
  <c r="C23" i="30"/>
  <c r="D23" i="30"/>
  <c r="AH25" i="26"/>
  <c r="C24" i="30"/>
  <c r="D24" i="30"/>
  <c r="AH26" i="26"/>
  <c r="C25" i="30"/>
  <c r="D25" i="30"/>
  <c r="AH27" i="26"/>
  <c r="C26" i="30"/>
  <c r="D26" i="30"/>
  <c r="AH28" i="26"/>
  <c r="C27" i="30"/>
  <c r="D27" i="30"/>
  <c r="AH29" i="26"/>
  <c r="C28" i="30"/>
  <c r="D28" i="30"/>
  <c r="AH30" i="26"/>
  <c r="C29" i="30"/>
  <c r="D29" i="30"/>
  <c r="AH31" i="26"/>
  <c r="C30" i="30"/>
  <c r="D30" i="30"/>
  <c r="AH32" i="26"/>
  <c r="C31" i="30"/>
  <c r="D31" i="30"/>
  <c r="AH33" i="26"/>
  <c r="C32" i="30"/>
  <c r="D32" i="30"/>
  <c r="AH34" i="26"/>
  <c r="C33" i="30"/>
  <c r="D33" i="30"/>
  <c r="AH35" i="26"/>
  <c r="C34" i="30"/>
  <c r="D34" i="30"/>
  <c r="AH36" i="26"/>
  <c r="C35" i="30"/>
  <c r="D35" i="30"/>
  <c r="AH37" i="26"/>
  <c r="C36" i="30"/>
  <c r="D36" i="30"/>
  <c r="AH38" i="26"/>
  <c r="C37" i="30"/>
  <c r="D37" i="30"/>
  <c r="AH39" i="26"/>
  <c r="C38" i="30"/>
  <c r="D38" i="30"/>
  <c r="AH40" i="26"/>
  <c r="C39" i="30"/>
  <c r="D39" i="30"/>
  <c r="AH41" i="26"/>
  <c r="C40" i="30"/>
  <c r="D40" i="30"/>
  <c r="AH42" i="26"/>
  <c r="C41" i="30"/>
  <c r="D41" i="30"/>
  <c r="AH43" i="26"/>
  <c r="C42" i="30"/>
  <c r="D42" i="30"/>
  <c r="AH44" i="26"/>
  <c r="C43" i="30"/>
  <c r="D43" i="30"/>
  <c r="AH45" i="26"/>
  <c r="C44" i="30"/>
  <c r="D44" i="30"/>
  <c r="AH46" i="26"/>
  <c r="C45" i="30"/>
  <c r="D45" i="30"/>
  <c r="AH47" i="26"/>
  <c r="C46" i="30"/>
  <c r="D46" i="30"/>
  <c r="AH48" i="26"/>
  <c r="C47" i="30"/>
  <c r="D47" i="30"/>
  <c r="AH49" i="26"/>
  <c r="C48" i="30"/>
  <c r="D48" i="30"/>
  <c r="AH50" i="26"/>
  <c r="C49" i="30"/>
  <c r="D49" i="30"/>
  <c r="AH51" i="26"/>
  <c r="C50" i="30"/>
  <c r="D50" i="30"/>
  <c r="AH52" i="26"/>
  <c r="C51" i="30"/>
  <c r="D51" i="30"/>
  <c r="AH53" i="26"/>
  <c r="C52" i="30"/>
  <c r="D52" i="30"/>
  <c r="AH54" i="26"/>
  <c r="C53" i="30"/>
  <c r="D53" i="30"/>
  <c r="AH55" i="26"/>
  <c r="C54" i="30"/>
  <c r="D54" i="30"/>
  <c r="AH56" i="26"/>
  <c r="C55" i="30"/>
  <c r="D55" i="30"/>
  <c r="AH57" i="26"/>
  <c r="C56" i="30"/>
  <c r="D56" i="30"/>
  <c r="AH58" i="26"/>
  <c r="C57" i="30"/>
  <c r="D57" i="30"/>
  <c r="AH59" i="26"/>
  <c r="C58" i="30"/>
  <c r="D58" i="30"/>
  <c r="AH60" i="26"/>
  <c r="C59" i="30"/>
  <c r="D59" i="30"/>
  <c r="AH61" i="26"/>
  <c r="AH6" i="27"/>
  <c r="AH7" i="27"/>
  <c r="AH8" i="27"/>
  <c r="AF8" i="27" s="1"/>
  <c r="AH9" i="27"/>
  <c r="AH10" i="27"/>
  <c r="AH11" i="27"/>
  <c r="AH12" i="27"/>
  <c r="AH13" i="27"/>
  <c r="AH14" i="27"/>
  <c r="AH15" i="27"/>
  <c r="AH16" i="27"/>
  <c r="AH17" i="27"/>
  <c r="AH18" i="27"/>
  <c r="AH19" i="27"/>
  <c r="AH20" i="27"/>
  <c r="AH21" i="27"/>
  <c r="AH22" i="27"/>
  <c r="AH23" i="27"/>
  <c r="AH24" i="27"/>
  <c r="AH25" i="27"/>
  <c r="AH26" i="27"/>
  <c r="AH27" i="27"/>
  <c r="AH28" i="27"/>
  <c r="AH29" i="27"/>
  <c r="AH30" i="27"/>
  <c r="AH31" i="27"/>
  <c r="AH32" i="27"/>
  <c r="AH33" i="27"/>
  <c r="AH34" i="27"/>
  <c r="AH35" i="27"/>
  <c r="AH36" i="27"/>
  <c r="AH37" i="27"/>
  <c r="AH38" i="27"/>
  <c r="AH39" i="27"/>
  <c r="AH40" i="27"/>
  <c r="AH41" i="27"/>
  <c r="AH42" i="27"/>
  <c r="AH43" i="27"/>
  <c r="AH44" i="27"/>
  <c r="AH45" i="27"/>
  <c r="AH46" i="27"/>
  <c r="AH47" i="27"/>
  <c r="AH48" i="27"/>
  <c r="AH49" i="27"/>
  <c r="AH50" i="27"/>
  <c r="AH51" i="27"/>
  <c r="AH52" i="27"/>
  <c r="AH53" i="27"/>
  <c r="AH54" i="27"/>
  <c r="AH55" i="27"/>
  <c r="AH56" i="27"/>
  <c r="AH57" i="27"/>
  <c r="AH58" i="27"/>
  <c r="AH59" i="27"/>
  <c r="AH60" i="27"/>
  <c r="AH61" i="27"/>
  <c r="AH60" i="7"/>
  <c r="J6" i="26"/>
  <c r="J7" i="26" s="1"/>
  <c r="AF7" i="26" s="1"/>
  <c r="J6" i="27"/>
  <c r="J7" i="27" s="1"/>
  <c r="J8" i="27" s="1"/>
  <c r="J9" i="27" s="1"/>
  <c r="J10" i="27" s="1"/>
  <c r="J11" i="27" s="1"/>
  <c r="AF6" i="27"/>
  <c r="D55" i="8"/>
  <c r="E55" i="8"/>
  <c r="F55" i="8"/>
  <c r="D56" i="8"/>
  <c r="E56" i="8"/>
  <c r="F56" i="8"/>
  <c r="D57" i="8"/>
  <c r="E57" i="8"/>
  <c r="F57" i="8"/>
  <c r="D58" i="8"/>
  <c r="E58" i="8"/>
  <c r="F58" i="8"/>
  <c r="D59" i="8"/>
  <c r="E59" i="8"/>
  <c r="F59" i="8"/>
  <c r="D60" i="8"/>
  <c r="E60" i="8"/>
  <c r="F60" i="8"/>
  <c r="D61" i="8"/>
  <c r="E61" i="8"/>
  <c r="F61" i="8"/>
  <c r="E4" i="30"/>
  <c r="F4" i="30"/>
  <c r="I6" i="26"/>
  <c r="E5" i="30"/>
  <c r="F5" i="30"/>
  <c r="I7" i="26"/>
  <c r="E6" i="30"/>
  <c r="F6" i="30"/>
  <c r="I8" i="26"/>
  <c r="E7" i="30"/>
  <c r="F7" i="30"/>
  <c r="I9" i="26"/>
  <c r="E8" i="30"/>
  <c r="F8" i="30"/>
  <c r="I10" i="26"/>
  <c r="E9" i="30"/>
  <c r="F9" i="30"/>
  <c r="I11" i="26"/>
  <c r="E11" i="30"/>
  <c r="F11" i="30"/>
  <c r="I13" i="26"/>
  <c r="E12" i="30"/>
  <c r="F12" i="30"/>
  <c r="I14" i="26"/>
  <c r="E13" i="30"/>
  <c r="F13" i="30"/>
  <c r="I15" i="26"/>
  <c r="E14" i="30"/>
  <c r="F14" i="30"/>
  <c r="I16" i="26"/>
  <c r="E15" i="30"/>
  <c r="F15" i="30"/>
  <c r="I17" i="26"/>
  <c r="E16" i="30"/>
  <c r="F16" i="30"/>
  <c r="I18" i="26"/>
  <c r="E18" i="30"/>
  <c r="F18" i="30"/>
  <c r="I20" i="26"/>
  <c r="E19" i="30"/>
  <c r="F19" i="30"/>
  <c r="I21" i="26"/>
  <c r="E20" i="30"/>
  <c r="F20" i="30"/>
  <c r="I22" i="26"/>
  <c r="E21" i="30"/>
  <c r="F21" i="30"/>
  <c r="I23" i="26"/>
  <c r="E22" i="30"/>
  <c r="F22" i="30"/>
  <c r="I24" i="26"/>
  <c r="E23" i="30"/>
  <c r="F23" i="30"/>
  <c r="I25" i="26"/>
  <c r="E25" i="30"/>
  <c r="F25" i="30"/>
  <c r="I27" i="26"/>
  <c r="E26" i="30"/>
  <c r="F26" i="30"/>
  <c r="I28" i="26"/>
  <c r="E27" i="30"/>
  <c r="F27" i="30"/>
  <c r="I29" i="26"/>
  <c r="E28" i="30"/>
  <c r="F28" i="30"/>
  <c r="I30" i="26"/>
  <c r="E29" i="30"/>
  <c r="F29" i="30"/>
  <c r="I31" i="26"/>
  <c r="E30" i="30"/>
  <c r="F30" i="30"/>
  <c r="I32" i="26"/>
  <c r="E32" i="30"/>
  <c r="F32" i="30"/>
  <c r="I34" i="26"/>
  <c r="E33" i="30"/>
  <c r="F33" i="30"/>
  <c r="I35" i="26"/>
  <c r="E34" i="30"/>
  <c r="F34" i="30"/>
  <c r="I36" i="26"/>
  <c r="E35" i="30"/>
  <c r="F35" i="30"/>
  <c r="I37" i="26"/>
  <c r="E36" i="30"/>
  <c r="F36" i="30"/>
  <c r="I38" i="26"/>
  <c r="E37" i="30"/>
  <c r="F37" i="30"/>
  <c r="I39" i="26"/>
  <c r="E39" i="30"/>
  <c r="F39" i="30"/>
  <c r="I41" i="26"/>
  <c r="E40" i="30"/>
  <c r="F40" i="30"/>
  <c r="I42" i="26"/>
  <c r="E41" i="30"/>
  <c r="F41" i="30"/>
  <c r="I43" i="26"/>
  <c r="E42" i="30"/>
  <c r="F42" i="30"/>
  <c r="I44" i="26"/>
  <c r="E43" i="30"/>
  <c r="F43" i="30"/>
  <c r="I45" i="26"/>
  <c r="E44" i="30"/>
  <c r="F44" i="30"/>
  <c r="I46" i="26"/>
  <c r="E46" i="30"/>
  <c r="F46" i="30"/>
  <c r="I48" i="26"/>
  <c r="E47" i="30"/>
  <c r="F47" i="30"/>
  <c r="I49" i="26"/>
  <c r="E48" i="30"/>
  <c r="F48" i="30"/>
  <c r="I50" i="26"/>
  <c r="E49" i="30"/>
  <c r="F49" i="30"/>
  <c r="I51" i="26"/>
  <c r="E50" i="30"/>
  <c r="F50" i="30"/>
  <c r="I52" i="26"/>
  <c r="E51" i="30"/>
  <c r="F51" i="30"/>
  <c r="I53" i="26"/>
  <c r="E53" i="30"/>
  <c r="F53" i="30"/>
  <c r="I55" i="26"/>
  <c r="E54" i="30"/>
  <c r="F54" i="30"/>
  <c r="I56" i="26"/>
  <c r="E55" i="30"/>
  <c r="F55" i="30"/>
  <c r="I57" i="26"/>
  <c r="E56" i="30"/>
  <c r="F56" i="30"/>
  <c r="I58" i="26"/>
  <c r="E57" i="30"/>
  <c r="F57" i="30"/>
  <c r="I59" i="26"/>
  <c r="E58" i="30"/>
  <c r="F58" i="30"/>
  <c r="I60" i="26"/>
  <c r="I6" i="27"/>
  <c r="I7" i="27"/>
  <c r="I8" i="27"/>
  <c r="I9" i="27"/>
  <c r="I10" i="27"/>
  <c r="I11" i="27"/>
  <c r="I13" i="27"/>
  <c r="I14" i="27"/>
  <c r="I15" i="27"/>
  <c r="I16" i="27"/>
  <c r="I17" i="27"/>
  <c r="I18" i="27"/>
  <c r="I20" i="27"/>
  <c r="I21" i="27"/>
  <c r="I22" i="27"/>
  <c r="I23" i="27"/>
  <c r="I24" i="27"/>
  <c r="I25" i="27"/>
  <c r="I27" i="27"/>
  <c r="I28" i="27"/>
  <c r="I29" i="27"/>
  <c r="I30" i="27"/>
  <c r="I31" i="27"/>
  <c r="I32" i="27"/>
  <c r="I34" i="27"/>
  <c r="I35" i="27"/>
  <c r="I36" i="27"/>
  <c r="I37" i="27"/>
  <c r="I38" i="27"/>
  <c r="I39" i="27"/>
  <c r="I41" i="27"/>
  <c r="I42" i="27"/>
  <c r="I43" i="27"/>
  <c r="I44" i="27"/>
  <c r="I45" i="27"/>
  <c r="I46" i="27"/>
  <c r="I48" i="27"/>
  <c r="I49" i="27"/>
  <c r="I50" i="27"/>
  <c r="I51" i="27"/>
  <c r="I52" i="27"/>
  <c r="I53" i="27"/>
  <c r="I55" i="27"/>
  <c r="I56" i="27"/>
  <c r="I57" i="27"/>
  <c r="I58" i="27"/>
  <c r="I59" i="27"/>
  <c r="I60" i="27"/>
  <c r="I6" i="8"/>
  <c r="I7" i="8"/>
  <c r="I8" i="8"/>
  <c r="I9" i="8"/>
  <c r="I10" i="8"/>
  <c r="I11" i="8"/>
  <c r="I13" i="8"/>
  <c r="I14" i="8"/>
  <c r="I15" i="8"/>
  <c r="I16" i="8"/>
  <c r="I17" i="8"/>
  <c r="I18" i="8"/>
  <c r="I20" i="8"/>
  <c r="I21" i="8"/>
  <c r="I22" i="8"/>
  <c r="I23" i="8"/>
  <c r="I24" i="8"/>
  <c r="I25" i="8"/>
  <c r="I27" i="8"/>
  <c r="I28" i="8"/>
  <c r="I29" i="8"/>
  <c r="I30" i="8"/>
  <c r="I31" i="8"/>
  <c r="I32" i="8"/>
  <c r="I34" i="8"/>
  <c r="I35" i="8"/>
  <c r="I36" i="8"/>
  <c r="I37" i="8"/>
  <c r="I38" i="8"/>
  <c r="I39" i="8"/>
  <c r="I41" i="8"/>
  <c r="I42" i="8"/>
  <c r="I43" i="8"/>
  <c r="I44" i="8"/>
  <c r="I45" i="8"/>
  <c r="I46" i="8"/>
  <c r="I48" i="8"/>
  <c r="I49" i="8"/>
  <c r="I50" i="8"/>
  <c r="I51" i="8"/>
  <c r="I52" i="8"/>
  <c r="I53" i="8"/>
  <c r="I55" i="8"/>
  <c r="I56" i="8"/>
  <c r="I57" i="8"/>
  <c r="I58" i="8"/>
  <c r="I59" i="8"/>
  <c r="I60" i="8"/>
  <c r="I6" i="7"/>
  <c r="I7" i="7"/>
  <c r="I8" i="7"/>
  <c r="I10" i="7"/>
  <c r="I11" i="7"/>
  <c r="I13" i="7"/>
  <c r="I15" i="7"/>
  <c r="I16" i="7"/>
  <c r="I17" i="7"/>
  <c r="I20" i="7"/>
  <c r="I21" i="7"/>
  <c r="I22" i="7"/>
  <c r="I24" i="7"/>
  <c r="I25" i="7"/>
  <c r="I27" i="7"/>
  <c r="I29" i="7"/>
  <c r="I30" i="7"/>
  <c r="I31" i="7"/>
  <c r="I34" i="7"/>
  <c r="I35" i="7"/>
  <c r="I36" i="7"/>
  <c r="I38" i="7"/>
  <c r="I39" i="7"/>
  <c r="I41" i="7"/>
  <c r="I43" i="7"/>
  <c r="I44" i="7"/>
  <c r="I45" i="7"/>
  <c r="I48" i="7"/>
  <c r="I49" i="7"/>
  <c r="I50" i="7"/>
  <c r="I52" i="7"/>
  <c r="I53" i="7"/>
  <c r="I55" i="7"/>
  <c r="I57" i="7"/>
  <c r="I58" i="7"/>
  <c r="I59" i="7"/>
  <c r="I6" i="5"/>
  <c r="I7" i="5"/>
  <c r="I8" i="5"/>
  <c r="I9" i="5"/>
  <c r="I10" i="5"/>
  <c r="I11" i="5"/>
  <c r="I13" i="5"/>
  <c r="I14" i="5"/>
  <c r="I15" i="5"/>
  <c r="I16" i="5"/>
  <c r="I17" i="5"/>
  <c r="I18" i="5"/>
  <c r="I20" i="5"/>
  <c r="I21" i="5"/>
  <c r="I22" i="5"/>
  <c r="I23" i="5"/>
  <c r="I24" i="5"/>
  <c r="I25" i="5"/>
  <c r="I27" i="5"/>
  <c r="I28" i="5"/>
  <c r="I29" i="5"/>
  <c r="I30" i="5"/>
  <c r="I31" i="5"/>
  <c r="I32" i="5"/>
  <c r="I34" i="5"/>
  <c r="I35" i="5"/>
  <c r="I36" i="5"/>
  <c r="I37" i="5"/>
  <c r="I38" i="5"/>
  <c r="I39" i="5"/>
  <c r="I41" i="5"/>
  <c r="I42" i="5"/>
  <c r="I43" i="5"/>
  <c r="I44" i="5"/>
  <c r="I45" i="5"/>
  <c r="I46" i="5"/>
  <c r="I48" i="5"/>
  <c r="I49" i="5"/>
  <c r="I50" i="5"/>
  <c r="I51" i="5"/>
  <c r="I52" i="5"/>
  <c r="I53" i="5"/>
  <c r="I55" i="5"/>
  <c r="I56" i="5"/>
  <c r="I57" i="5"/>
  <c r="I58" i="5"/>
  <c r="I59" i="5"/>
  <c r="I60" i="5"/>
  <c r="AH6" i="5"/>
  <c r="AF6" i="5" s="1"/>
  <c r="AH7" i="5"/>
  <c r="AF7" i="5" s="1"/>
  <c r="AH8" i="5"/>
  <c r="AH9" i="5"/>
  <c r="AF9" i="5" s="1"/>
  <c r="AH10" i="5"/>
  <c r="AF10" i="5" s="1"/>
  <c r="AH11" i="5"/>
  <c r="AF11" i="5" s="1"/>
  <c r="AH12" i="5"/>
  <c r="AF12" i="5" s="1"/>
  <c r="AH13" i="5"/>
  <c r="AH14" i="5"/>
  <c r="AF14" i="5" s="1"/>
  <c r="AH15" i="5"/>
  <c r="AF15" i="5" s="1"/>
  <c r="AH16" i="5"/>
  <c r="AH17" i="5"/>
  <c r="AF17" i="5" s="1"/>
  <c r="AH18" i="5"/>
  <c r="AF18" i="5" s="1"/>
  <c r="AH19" i="5"/>
  <c r="AF19" i="5" s="1"/>
  <c r="AH20" i="5"/>
  <c r="AF20" i="5" s="1"/>
  <c r="AH21" i="5"/>
  <c r="AF21" i="5" s="1"/>
  <c r="AH22" i="5"/>
  <c r="AF22" i="5" s="1"/>
  <c r="AH23" i="5"/>
  <c r="AF23" i="5" s="1"/>
  <c r="AH24" i="5"/>
  <c r="AF24" i="5" s="1"/>
  <c r="AH25" i="5"/>
  <c r="AH26" i="5"/>
  <c r="AF26" i="5" s="1"/>
  <c r="AH27" i="5"/>
  <c r="AF27" i="5" s="1"/>
  <c r="AH28" i="5"/>
  <c r="AF28" i="5" s="1"/>
  <c r="AH29" i="5"/>
  <c r="AF29" i="5" s="1"/>
  <c r="AH30" i="5"/>
  <c r="AF30" i="5" s="1"/>
  <c r="AH31" i="5"/>
  <c r="AF31" i="5" s="1"/>
  <c r="AH32" i="5"/>
  <c r="AF32" i="5" s="1"/>
  <c r="AH33" i="5"/>
  <c r="AF33" i="5" s="1"/>
  <c r="AH34" i="5"/>
  <c r="AF34" i="5" s="1"/>
  <c r="AH35" i="5"/>
  <c r="AF35" i="5" s="1"/>
  <c r="AH36" i="5"/>
  <c r="AF36" i="5" s="1"/>
  <c r="AH37" i="5"/>
  <c r="AH38" i="5"/>
  <c r="AH39" i="5"/>
  <c r="AF39" i="5" s="1"/>
  <c r="AH40" i="5"/>
  <c r="AF40" i="5" s="1"/>
  <c r="AH41" i="5"/>
  <c r="AF41" i="5" s="1"/>
  <c r="AH42" i="5"/>
  <c r="AF42" i="5" s="1"/>
  <c r="AH43" i="5"/>
  <c r="AF43" i="5" s="1"/>
  <c r="AH44" i="5"/>
  <c r="AH45" i="5"/>
  <c r="AF45" i="5" s="1"/>
  <c r="AH46" i="5"/>
  <c r="AF46" i="5" s="1"/>
  <c r="AH47" i="5"/>
  <c r="AF47" i="5" s="1"/>
  <c r="AH48" i="5"/>
  <c r="AF48" i="5" s="1"/>
  <c r="AH49" i="5"/>
  <c r="AH50" i="5"/>
  <c r="AF50" i="5" s="1"/>
  <c r="AH51" i="5"/>
  <c r="AF51" i="5" s="1"/>
  <c r="AH52" i="5"/>
  <c r="AF52" i="5" s="1"/>
  <c r="AH53" i="5"/>
  <c r="AF53" i="5" s="1"/>
  <c r="AH54" i="5"/>
  <c r="AF54" i="5" s="1"/>
  <c r="AH55" i="5"/>
  <c r="AF55" i="5" s="1"/>
  <c r="AH56" i="5"/>
  <c r="AF56" i="5" s="1"/>
  <c r="AH57" i="5"/>
  <c r="AH58" i="5"/>
  <c r="AF58" i="5" s="1"/>
  <c r="AH59" i="5"/>
  <c r="AF59" i="5" s="1"/>
  <c r="AH60" i="5"/>
  <c r="AH61" i="5"/>
  <c r="AF8" i="5"/>
  <c r="AF13" i="5"/>
  <c r="AF16" i="5"/>
  <c r="AF25" i="5"/>
  <c r="AF37" i="5"/>
  <c r="AF38" i="5"/>
  <c r="AF44" i="5"/>
  <c r="AF49" i="5"/>
  <c r="J55" i="5"/>
  <c r="J56" i="5" s="1"/>
  <c r="J57" i="5" s="1"/>
  <c r="J58" i="5"/>
  <c r="J59" i="5" s="1"/>
  <c r="J60" i="5" s="1"/>
  <c r="J61" i="5" s="1"/>
  <c r="AF61" i="5" s="1"/>
  <c r="B6" i="5"/>
  <c r="B7" i="5" s="1"/>
  <c r="B8" i="5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H58" i="30"/>
  <c r="H57" i="30"/>
  <c r="H56" i="30"/>
  <c r="H55" i="30"/>
  <c r="H54" i="30"/>
  <c r="H53" i="30"/>
  <c r="H51" i="30"/>
  <c r="H50" i="30"/>
  <c r="H49" i="30"/>
  <c r="H48" i="30"/>
  <c r="H47" i="30"/>
  <c r="H46" i="30"/>
  <c r="H44" i="30"/>
  <c r="H43" i="30"/>
  <c r="H42" i="30"/>
  <c r="H41" i="30"/>
  <c r="H40" i="30"/>
  <c r="H39" i="30"/>
  <c r="H37" i="30"/>
  <c r="H36" i="30"/>
  <c r="H35" i="30"/>
  <c r="H34" i="30"/>
  <c r="H33" i="30"/>
  <c r="H32" i="30"/>
  <c r="H30" i="30"/>
  <c r="H29" i="30"/>
  <c r="H28" i="30"/>
  <c r="H27" i="30"/>
  <c r="H26" i="30"/>
  <c r="H25" i="30"/>
  <c r="H23" i="30"/>
  <c r="H22" i="30"/>
  <c r="H21" i="30"/>
  <c r="H20" i="30"/>
  <c r="H19" i="30"/>
  <c r="H18" i="30"/>
  <c r="H16" i="30"/>
  <c r="H15" i="30"/>
  <c r="H14" i="30"/>
  <c r="H13" i="30"/>
  <c r="H12" i="30"/>
  <c r="H11" i="30"/>
  <c r="H9" i="30"/>
  <c r="H8" i="30"/>
  <c r="H7" i="30"/>
  <c r="H6" i="30"/>
  <c r="H5" i="30"/>
  <c r="H4" i="30"/>
  <c r="B5" i="30"/>
  <c r="B6" i="30"/>
  <c r="B7" i="30" s="1"/>
  <c r="B8" i="30" s="1"/>
  <c r="B9" i="30" s="1"/>
  <c r="B10" i="30" s="1"/>
  <c r="B11" i="30" s="1"/>
  <c r="B12" i="30" s="1"/>
  <c r="B13" i="30" s="1"/>
  <c r="B14" i="30" s="1"/>
  <c r="B15" i="30" s="1"/>
  <c r="B16" i="30" s="1"/>
  <c r="B17" i="30" s="1"/>
  <c r="B18" i="30" s="1"/>
  <c r="B19" i="30" s="1"/>
  <c r="B20" i="30" s="1"/>
  <c r="B21" i="30" s="1"/>
  <c r="B22" i="30" s="1"/>
  <c r="B23" i="30" s="1"/>
  <c r="B24" i="30" s="1"/>
  <c r="B25" i="30" s="1"/>
  <c r="B26" i="30" s="1"/>
  <c r="B27" i="30" s="1"/>
  <c r="B28" i="30" s="1"/>
  <c r="B29" i="30" s="1"/>
  <c r="B30" i="30" s="1"/>
  <c r="B31" i="30" s="1"/>
  <c r="B32" i="30" s="1"/>
  <c r="B33" i="30" s="1"/>
  <c r="B34" i="30" s="1"/>
  <c r="B35" i="30" s="1"/>
  <c r="B36" i="30" s="1"/>
  <c r="B37" i="30" s="1"/>
  <c r="B38" i="30" s="1"/>
  <c r="B39" i="30" s="1"/>
  <c r="B40" i="30" s="1"/>
  <c r="B41" i="30" s="1"/>
  <c r="B42" i="30" s="1"/>
  <c r="B43" i="30" s="1"/>
  <c r="B44" i="30" s="1"/>
  <c r="B45" i="30" s="1"/>
  <c r="B46" i="30" s="1"/>
  <c r="B47" i="30" s="1"/>
  <c r="B48" i="30" s="1"/>
  <c r="B49" i="30" s="1"/>
  <c r="B50" i="30" s="1"/>
  <c r="B51" i="30" s="1"/>
  <c r="B52" i="30" s="1"/>
  <c r="B53" i="30" s="1"/>
  <c r="B54" i="30" s="1"/>
  <c r="B55" i="30" s="1"/>
  <c r="B56" i="30" s="1"/>
  <c r="B57" i="30" s="1"/>
  <c r="B58" i="30" s="1"/>
  <c r="B59" i="30" s="1"/>
  <c r="H53" i="29"/>
  <c r="B5" i="29"/>
  <c r="B6" i="29" s="1"/>
  <c r="B7" i="29" s="1"/>
  <c r="B8" i="29" s="1"/>
  <c r="B9" i="29" s="1"/>
  <c r="B10" i="29" s="1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S58" i="29"/>
  <c r="M58" i="29"/>
  <c r="S57" i="29"/>
  <c r="M57" i="29"/>
  <c r="M56" i="29"/>
  <c r="S55" i="29"/>
  <c r="M55" i="29"/>
  <c r="S54" i="29"/>
  <c r="M54" i="29"/>
  <c r="AE53" i="29"/>
  <c r="S53" i="29"/>
  <c r="M53" i="29"/>
  <c r="AF46" i="29"/>
  <c r="AF47" i="29"/>
  <c r="Z46" i="29"/>
  <c r="T46" i="29"/>
  <c r="S46" i="29" s="1"/>
  <c r="T47" i="29"/>
  <c r="N46" i="29"/>
  <c r="N47" i="29"/>
  <c r="H46" i="29"/>
  <c r="AE46" i="29"/>
  <c r="M46" i="29"/>
  <c r="AF39" i="29"/>
  <c r="AF40" i="29" s="1"/>
  <c r="AE40" i="29" s="1"/>
  <c r="AF41" i="29"/>
  <c r="Z39" i="29"/>
  <c r="T39" i="29"/>
  <c r="T40" i="29" s="1"/>
  <c r="S40" i="29" s="1"/>
  <c r="N39" i="29"/>
  <c r="N40" i="29"/>
  <c r="H39" i="29"/>
  <c r="S39" i="29"/>
  <c r="M39" i="29"/>
  <c r="AF32" i="29"/>
  <c r="Z32" i="29"/>
  <c r="T32" i="29"/>
  <c r="T33" i="29" s="1"/>
  <c r="T34" i="29" s="1"/>
  <c r="S34" i="29" s="1"/>
  <c r="N32" i="29"/>
  <c r="H32" i="29"/>
  <c r="S33" i="29"/>
  <c r="S32" i="29"/>
  <c r="AF25" i="29"/>
  <c r="AE25" i="29" s="1"/>
  <c r="AF26" i="29"/>
  <c r="Z25" i="29"/>
  <c r="T25" i="29"/>
  <c r="T26" i="29"/>
  <c r="N25" i="29"/>
  <c r="H25" i="29"/>
  <c r="S25" i="29"/>
  <c r="AF18" i="29"/>
  <c r="AF19" i="29" s="1"/>
  <c r="Z18" i="29"/>
  <c r="Z19" i="29" s="1"/>
  <c r="T18" i="29"/>
  <c r="N18" i="29"/>
  <c r="N19" i="29"/>
  <c r="N20" i="29" s="1"/>
  <c r="H18" i="29"/>
  <c r="G18" i="29" s="1"/>
  <c r="H19" i="29"/>
  <c r="AE18" i="29"/>
  <c r="Y18" i="29"/>
  <c r="M18" i="29"/>
  <c r="AF11" i="29"/>
  <c r="Z11" i="29"/>
  <c r="Z12" i="29"/>
  <c r="T11" i="29"/>
  <c r="N11" i="29"/>
  <c r="N12" i="29"/>
  <c r="N13" i="29" s="1"/>
  <c r="H11" i="29"/>
  <c r="H12" i="29" s="1"/>
  <c r="H13" i="29" s="1"/>
  <c r="G12" i="29"/>
  <c r="Y11" i="29"/>
  <c r="M11" i="29"/>
  <c r="AF4" i="29"/>
  <c r="AF5" i="29"/>
  <c r="AF6" i="29" s="1"/>
  <c r="Z4" i="29"/>
  <c r="Z5" i="29" s="1"/>
  <c r="Y5" i="29" s="1"/>
  <c r="T4" i="29"/>
  <c r="T5" i="29" s="1"/>
  <c r="N4" i="29"/>
  <c r="N5" i="29"/>
  <c r="N6" i="29" s="1"/>
  <c r="N7" i="29" s="1"/>
  <c r="H4" i="29"/>
  <c r="H5" i="29"/>
  <c r="AE5" i="29"/>
  <c r="AE4" i="29"/>
  <c r="M4" i="29"/>
  <c r="G4" i="29"/>
  <c r="AF3" i="29"/>
  <c r="AE3" i="29"/>
  <c r="AD3" i="29"/>
  <c r="AC3" i="29"/>
  <c r="AB3" i="29"/>
  <c r="AA3" i="29"/>
  <c r="Z3" i="29"/>
  <c r="Y3" i="29"/>
  <c r="X3" i="29"/>
  <c r="W3" i="29"/>
  <c r="V3" i="29"/>
  <c r="U3" i="29"/>
  <c r="T3" i="29"/>
  <c r="S3" i="29"/>
  <c r="R3" i="29"/>
  <c r="Q3" i="29"/>
  <c r="P3" i="29"/>
  <c r="O3" i="29"/>
  <c r="N3" i="29"/>
  <c r="M3" i="29"/>
  <c r="L3" i="29"/>
  <c r="K3" i="29"/>
  <c r="J3" i="29"/>
  <c r="I3" i="29"/>
  <c r="E4" i="5"/>
  <c r="E4" i="8" s="1"/>
  <c r="B6" i="8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Q2" i="8"/>
  <c r="B6" i="27"/>
  <c r="B7" i="27"/>
  <c r="B8" i="27" s="1"/>
  <c r="B9" i="27" s="1"/>
  <c r="B10" i="27" s="1"/>
  <c r="B11" i="27" s="1"/>
  <c r="B12" i="27" s="1"/>
  <c r="B13" i="27" s="1"/>
  <c r="B14" i="27" s="1"/>
  <c r="B15" i="27" s="1"/>
  <c r="B16" i="27" s="1"/>
  <c r="B17" i="27" s="1"/>
  <c r="B18" i="27" s="1"/>
  <c r="B19" i="27" s="1"/>
  <c r="B20" i="27" s="1"/>
  <c r="B21" i="27" s="1"/>
  <c r="B22" i="27" s="1"/>
  <c r="B23" i="27" s="1"/>
  <c r="B24" i="27" s="1"/>
  <c r="B25" i="27" s="1"/>
  <c r="B26" i="27" s="1"/>
  <c r="B27" i="27" s="1"/>
  <c r="B28" i="27" s="1"/>
  <c r="B29" i="27" s="1"/>
  <c r="B30" i="27" s="1"/>
  <c r="B31" i="27" s="1"/>
  <c r="B32" i="27" s="1"/>
  <c r="B33" i="27" s="1"/>
  <c r="B34" i="27" s="1"/>
  <c r="B35" i="27" s="1"/>
  <c r="B36" i="27" s="1"/>
  <c r="B37" i="27" s="1"/>
  <c r="B38" i="27" s="1"/>
  <c r="B39" i="27" s="1"/>
  <c r="B40" i="27" s="1"/>
  <c r="B41" i="27" s="1"/>
  <c r="B42" i="27" s="1"/>
  <c r="B43" i="27" s="1"/>
  <c r="B44" i="27" s="1"/>
  <c r="B45" i="27" s="1"/>
  <c r="B46" i="27" s="1"/>
  <c r="B47" i="27" s="1"/>
  <c r="B48" i="27" s="1"/>
  <c r="B49" i="27" s="1"/>
  <c r="B50" i="27" s="1"/>
  <c r="B51" i="27" s="1"/>
  <c r="B52" i="27" s="1"/>
  <c r="B53" i="27" s="1"/>
  <c r="B54" i="27" s="1"/>
  <c r="B55" i="27" s="1"/>
  <c r="B56" i="27" s="1"/>
  <c r="B57" i="27" s="1"/>
  <c r="B58" i="27" s="1"/>
  <c r="B59" i="27" s="1"/>
  <c r="B60" i="27" s="1"/>
  <c r="B61" i="27" s="1"/>
  <c r="Q2" i="27"/>
  <c r="B6" i="26"/>
  <c r="B7" i="26" s="1"/>
  <c r="B8" i="26" s="1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Q2" i="26"/>
  <c r="B6" i="7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Q2" i="7"/>
  <c r="U2" i="5"/>
  <c r="AK57" i="7"/>
  <c r="AK57" i="5"/>
  <c r="AK57" i="26"/>
  <c r="AM59" i="26" s="1"/>
  <c r="AK57" i="27"/>
  <c r="AM57" i="27" s="1"/>
  <c r="AR32" i="27" s="1"/>
  <c r="AK50" i="7"/>
  <c r="AK50" i="5"/>
  <c r="AK50" i="26"/>
  <c r="AK52" i="26" s="1"/>
  <c r="AK54" i="26" s="1"/>
  <c r="AP49" i="26" s="1"/>
  <c r="AK50" i="27"/>
  <c r="AK43" i="7"/>
  <c r="AK43" i="5"/>
  <c r="AK43" i="26"/>
  <c r="AK45" i="26" s="1"/>
  <c r="AK43" i="27"/>
  <c r="AP30" i="27" s="1"/>
  <c r="AK36" i="7"/>
  <c r="AK44" i="7" s="1"/>
  <c r="AK36" i="5"/>
  <c r="AK36" i="26"/>
  <c r="AK38" i="26" s="1"/>
  <c r="AK40" i="26" s="1"/>
  <c r="AM40" i="26" s="1"/>
  <c r="AR47" i="26" s="1"/>
  <c r="AK36" i="27"/>
  <c r="AK29" i="7"/>
  <c r="AK29" i="5"/>
  <c r="AK29" i="26"/>
  <c r="AK37" i="26" s="1"/>
  <c r="AK29" i="27"/>
  <c r="H4" i="11"/>
  <c r="H2" i="11"/>
  <c r="J4" i="11" s="1"/>
  <c r="I4" i="11"/>
  <c r="K4" i="11"/>
  <c r="K2" i="11"/>
  <c r="L4" i="11" s="1"/>
  <c r="N4" i="11"/>
  <c r="N2" i="11"/>
  <c r="P4" i="11" s="1"/>
  <c r="Q4" i="11"/>
  <c r="Q2" i="11"/>
  <c r="F62" i="5"/>
  <c r="E4" i="10" s="1"/>
  <c r="I16" i="11" s="1"/>
  <c r="G62" i="5"/>
  <c r="E21" i="10"/>
  <c r="F62" i="7"/>
  <c r="F4" i="10" s="1"/>
  <c r="G62" i="7"/>
  <c r="F21" i="10" s="1"/>
  <c r="M20" i="11" s="1"/>
  <c r="F62" i="26"/>
  <c r="G62" i="26"/>
  <c r="G21" i="10" s="1"/>
  <c r="F62" i="27"/>
  <c r="H4" i="10" s="1"/>
  <c r="G62" i="27"/>
  <c r="H21" i="10" s="1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F62" i="8"/>
  <c r="G34" i="11"/>
  <c r="I11" i="11"/>
  <c r="M11" i="11"/>
  <c r="P11" i="11"/>
  <c r="R11" i="11"/>
  <c r="R34" i="11"/>
  <c r="S19" i="11"/>
  <c r="S17" i="11"/>
  <c r="R13" i="11"/>
  <c r="S30" i="11"/>
  <c r="S29" i="11"/>
  <c r="R28" i="11"/>
  <c r="S25" i="11"/>
  <c r="R24" i="11"/>
  <c r="S22" i="11"/>
  <c r="R21" i="11"/>
  <c r="R18" i="11"/>
  <c r="S14" i="11"/>
  <c r="S12" i="11"/>
  <c r="R10" i="11"/>
  <c r="S7" i="11"/>
  <c r="P5" i="27"/>
  <c r="T5" i="27"/>
  <c r="X5" i="27"/>
  <c r="AD19" i="27" s="1"/>
  <c r="AD10" i="27"/>
  <c r="AD34" i="27"/>
  <c r="AD43" i="27"/>
  <c r="H13" i="10"/>
  <c r="Q6" i="11" s="1"/>
  <c r="Y4" i="27"/>
  <c r="H16" i="10" s="1"/>
  <c r="U4" i="27"/>
  <c r="H14" i="10" s="1"/>
  <c r="S5" i="11"/>
  <c r="R5" i="11"/>
  <c r="Q4" i="27"/>
  <c r="H12" i="10" s="1"/>
  <c r="P6" i="11"/>
  <c r="P7" i="11"/>
  <c r="P9" i="11"/>
  <c r="P12" i="11"/>
  <c r="P13" i="11"/>
  <c r="P14" i="11"/>
  <c r="P17" i="11"/>
  <c r="P18" i="11"/>
  <c r="P19" i="11"/>
  <c r="P21" i="11"/>
  <c r="P22" i="11"/>
  <c r="P23" i="11"/>
  <c r="P25" i="11"/>
  <c r="P26" i="11"/>
  <c r="P27" i="11"/>
  <c r="P29" i="11"/>
  <c r="P30" i="11"/>
  <c r="P31" i="11"/>
  <c r="P5" i="26"/>
  <c r="G11" i="10"/>
  <c r="N5" i="11" s="1"/>
  <c r="Q4" i="26"/>
  <c r="G12" i="10" s="1"/>
  <c r="T5" i="26"/>
  <c r="G13" i="10"/>
  <c r="N6" i="11" s="1"/>
  <c r="U4" i="26"/>
  <c r="G14" i="10" s="1"/>
  <c r="X5" i="26"/>
  <c r="AD41" i="26" s="1"/>
  <c r="Y4" i="26"/>
  <c r="G16" i="10"/>
  <c r="M13" i="11"/>
  <c r="L5" i="11"/>
  <c r="L9" i="11"/>
  <c r="L10" i="11"/>
  <c r="L12" i="11"/>
  <c r="L14" i="11"/>
  <c r="L15" i="11"/>
  <c r="L17" i="11"/>
  <c r="L19" i="11"/>
  <c r="L20" i="11"/>
  <c r="L21" i="11"/>
  <c r="L23" i="11"/>
  <c r="L24" i="11"/>
  <c r="L25" i="11"/>
  <c r="L27" i="11"/>
  <c r="L28" i="11"/>
  <c r="L29" i="11"/>
  <c r="L31" i="11"/>
  <c r="P5" i="7"/>
  <c r="F11" i="10"/>
  <c r="Q4" i="7"/>
  <c r="F12" i="10" s="1"/>
  <c r="T5" i="7"/>
  <c r="U4" i="7"/>
  <c r="F14" i="10"/>
  <c r="X5" i="7"/>
  <c r="AD18" i="7"/>
  <c r="Y4" i="7"/>
  <c r="F16" i="10" s="1"/>
  <c r="P34" i="11"/>
  <c r="L34" i="11"/>
  <c r="E11" i="10"/>
  <c r="E12" i="10"/>
  <c r="E13" i="10"/>
  <c r="H6" i="11" s="1"/>
  <c r="E14" i="10"/>
  <c r="AD6" i="5"/>
  <c r="AE6" i="5" s="1"/>
  <c r="AD7" i="5"/>
  <c r="AD8" i="5"/>
  <c r="AD9" i="5"/>
  <c r="AD10" i="5"/>
  <c r="AD11" i="5"/>
  <c r="AD12" i="5"/>
  <c r="AD13" i="5"/>
  <c r="AD14" i="5"/>
  <c r="AD15" i="5"/>
  <c r="AD16" i="5"/>
  <c r="AL13" i="5" s="1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E16" i="10"/>
  <c r="I5" i="11"/>
  <c r="E31" i="10"/>
  <c r="F31" i="10"/>
  <c r="G31" i="10"/>
  <c r="H31" i="10"/>
  <c r="H32" i="10" s="1"/>
  <c r="C62" i="8"/>
  <c r="B23" i="10"/>
  <c r="C30" i="10" s="1"/>
  <c r="P5" i="8"/>
  <c r="P6" i="8"/>
  <c r="T5" i="8"/>
  <c r="X5" i="8"/>
  <c r="P8" i="8"/>
  <c r="P9" i="8"/>
  <c r="P10" i="8"/>
  <c r="P12" i="8"/>
  <c r="P13" i="8"/>
  <c r="P14" i="8"/>
  <c r="P16" i="8"/>
  <c r="P17" i="8"/>
  <c r="P19" i="8"/>
  <c r="P20" i="8"/>
  <c r="X20" i="8"/>
  <c r="P22" i="8"/>
  <c r="P23" i="8"/>
  <c r="X23" i="8"/>
  <c r="P25" i="8"/>
  <c r="P26" i="8"/>
  <c r="P28" i="8"/>
  <c r="P29" i="8"/>
  <c r="P30" i="8"/>
  <c r="P32" i="8"/>
  <c r="P33" i="8"/>
  <c r="P34" i="8"/>
  <c r="P36" i="8"/>
  <c r="P37" i="8"/>
  <c r="P38" i="8"/>
  <c r="P40" i="8"/>
  <c r="P41" i="8"/>
  <c r="P42" i="8"/>
  <c r="P44" i="8"/>
  <c r="P45" i="8"/>
  <c r="P46" i="8"/>
  <c r="P48" i="8"/>
  <c r="P49" i="8"/>
  <c r="P50" i="8"/>
  <c r="P52" i="8"/>
  <c r="P53" i="8"/>
  <c r="P54" i="8"/>
  <c r="P56" i="8"/>
  <c r="P57" i="8"/>
  <c r="P58" i="8"/>
  <c r="P60" i="8"/>
  <c r="P61" i="8"/>
  <c r="H19" i="10"/>
  <c r="E19" i="10"/>
  <c r="B6" i="10"/>
  <c r="B5" i="10"/>
  <c r="H33" i="10"/>
  <c r="G32" i="10"/>
  <c r="E32" i="10"/>
  <c r="G33" i="10"/>
  <c r="H3" i="10"/>
  <c r="H9" i="10" s="1"/>
  <c r="H26" i="10"/>
  <c r="H27" i="10" s="1"/>
  <c r="H28" i="10"/>
  <c r="H29" i="10" s="1"/>
  <c r="G3" i="10"/>
  <c r="G26" i="10"/>
  <c r="G28" i="10" s="1"/>
  <c r="H25" i="10"/>
  <c r="C62" i="27"/>
  <c r="H23" i="10" s="1"/>
  <c r="H30" i="10" s="1"/>
  <c r="C62" i="7"/>
  <c r="F23" i="10" s="1"/>
  <c r="F30" i="10" s="1"/>
  <c r="E22" i="10"/>
  <c r="E3" i="10"/>
  <c r="E9" i="10"/>
  <c r="H8" i="10"/>
  <c r="H6" i="10"/>
  <c r="G6" i="10"/>
  <c r="H5" i="10"/>
  <c r="G5" i="10"/>
  <c r="H22" i="10"/>
  <c r="AL17" i="8"/>
  <c r="AL16" i="8"/>
  <c r="AK22" i="8"/>
  <c r="AK15" i="8"/>
  <c r="AK8" i="8"/>
  <c r="O6" i="8"/>
  <c r="R6" i="8" s="1"/>
  <c r="S6" i="8"/>
  <c r="W6" i="8"/>
  <c r="Q6" i="8"/>
  <c r="U6" i="8"/>
  <c r="Y6" i="8"/>
  <c r="O7" i="8"/>
  <c r="S7" i="8"/>
  <c r="AA7" i="8" s="1"/>
  <c r="W7" i="8"/>
  <c r="Q7" i="8"/>
  <c r="U7" i="8"/>
  <c r="Y7" i="8"/>
  <c r="Y61" i="8"/>
  <c r="Y60" i="8"/>
  <c r="Y59" i="8"/>
  <c r="Y58" i="8"/>
  <c r="Y57" i="8"/>
  <c r="Y56" i="8"/>
  <c r="Y55" i="8"/>
  <c r="Y54" i="8"/>
  <c r="Y53" i="8"/>
  <c r="Y52" i="8"/>
  <c r="Y51" i="8"/>
  <c r="Y50" i="8"/>
  <c r="Y49" i="8"/>
  <c r="Y48" i="8"/>
  <c r="Y47" i="8"/>
  <c r="Y46" i="8"/>
  <c r="Y45" i="8"/>
  <c r="Y44" i="8"/>
  <c r="Y43" i="8"/>
  <c r="Y42" i="8"/>
  <c r="Y41" i="8"/>
  <c r="Y40" i="8"/>
  <c r="Y39" i="8"/>
  <c r="Y38" i="8"/>
  <c r="Y37" i="8"/>
  <c r="Y36" i="8"/>
  <c r="Y35" i="8"/>
  <c r="Y34" i="8"/>
  <c r="Y33" i="8"/>
  <c r="Y32" i="8"/>
  <c r="Y31" i="8"/>
  <c r="Y30" i="8"/>
  <c r="Y29" i="8"/>
  <c r="Y28" i="8"/>
  <c r="Y27" i="8"/>
  <c r="Y26" i="8"/>
  <c r="Y25" i="8"/>
  <c r="Y24" i="8"/>
  <c r="Y23" i="8"/>
  <c r="Y22" i="8"/>
  <c r="Y21" i="8"/>
  <c r="Y20" i="8"/>
  <c r="Y19" i="8"/>
  <c r="Y18" i="8"/>
  <c r="Y17" i="8"/>
  <c r="Y16" i="8"/>
  <c r="Y15" i="8"/>
  <c r="Y14" i="8"/>
  <c r="Y13" i="8"/>
  <c r="Y12" i="8"/>
  <c r="Y11" i="8"/>
  <c r="Y10" i="8"/>
  <c r="Y9" i="8"/>
  <c r="Y8" i="8"/>
  <c r="W61" i="8"/>
  <c r="W60" i="8"/>
  <c r="W59" i="8"/>
  <c r="W58" i="8"/>
  <c r="W57" i="8"/>
  <c r="W56" i="8"/>
  <c r="W55" i="8"/>
  <c r="W54" i="8"/>
  <c r="W53" i="8"/>
  <c r="W52" i="8"/>
  <c r="W51" i="8"/>
  <c r="W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W8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54" i="8"/>
  <c r="U55" i="8"/>
  <c r="U56" i="8"/>
  <c r="U57" i="8"/>
  <c r="U58" i="8"/>
  <c r="U59" i="8"/>
  <c r="U60" i="8"/>
  <c r="U61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Q61" i="8"/>
  <c r="Q60" i="8"/>
  <c r="Q59" i="8"/>
  <c r="Q58" i="8"/>
  <c r="Q57" i="8"/>
  <c r="Q56" i="8"/>
  <c r="Q55" i="8"/>
  <c r="Q54" i="8"/>
  <c r="Q53" i="8"/>
  <c r="Q52" i="8"/>
  <c r="Q51" i="8"/>
  <c r="Q50" i="8"/>
  <c r="Q49" i="8"/>
  <c r="Q48" i="8"/>
  <c r="Q47" i="8"/>
  <c r="Q46" i="8"/>
  <c r="Q45" i="8"/>
  <c r="Q44" i="8"/>
  <c r="Q43" i="8"/>
  <c r="Q42" i="8"/>
  <c r="Q41" i="8"/>
  <c r="Q40" i="8"/>
  <c r="Q39" i="8"/>
  <c r="Q38" i="8"/>
  <c r="Q37" i="8"/>
  <c r="Q36" i="8"/>
  <c r="Q35" i="8"/>
  <c r="Q34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Q16" i="8"/>
  <c r="Q15" i="8"/>
  <c r="Q14" i="8"/>
  <c r="Q13" i="8"/>
  <c r="Q12" i="8"/>
  <c r="Q11" i="8"/>
  <c r="Q10" i="8"/>
  <c r="Q9" i="8"/>
  <c r="Q8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L7" i="8"/>
  <c r="L8" i="8"/>
  <c r="L11" i="8" s="1"/>
  <c r="U1" i="8"/>
  <c r="H8" i="8"/>
  <c r="AM5" i="26"/>
  <c r="AL5" i="26"/>
  <c r="AK5" i="26"/>
  <c r="AJ5" i="26"/>
  <c r="AI5" i="26"/>
  <c r="AH5" i="26"/>
  <c r="AG5" i="26"/>
  <c r="AF5" i="26"/>
  <c r="AE5" i="26"/>
  <c r="AD5" i="26"/>
  <c r="AC5" i="26"/>
  <c r="AB5" i="26"/>
  <c r="AA5" i="26"/>
  <c r="Z5" i="26"/>
  <c r="Y5" i="26"/>
  <c r="W5" i="26"/>
  <c r="V5" i="26"/>
  <c r="U5" i="26"/>
  <c r="S5" i="26"/>
  <c r="R5" i="26"/>
  <c r="Q5" i="26"/>
  <c r="O5" i="26"/>
  <c r="K5" i="26"/>
  <c r="J5" i="26"/>
  <c r="I5" i="26"/>
  <c r="H5" i="26"/>
  <c r="G5" i="26"/>
  <c r="F5" i="26"/>
  <c r="E5" i="26"/>
  <c r="D5" i="26"/>
  <c r="C5" i="26"/>
  <c r="B5" i="26"/>
  <c r="A5" i="26"/>
  <c r="AM5" i="27"/>
  <c r="AL5" i="27"/>
  <c r="AK5" i="27"/>
  <c r="AJ5" i="27"/>
  <c r="AI5" i="27"/>
  <c r="AH5" i="27"/>
  <c r="AG5" i="27"/>
  <c r="AF5" i="27"/>
  <c r="AE5" i="27"/>
  <c r="AD5" i="27"/>
  <c r="AC5" i="27"/>
  <c r="AB5" i="27"/>
  <c r="AA5" i="27"/>
  <c r="Z5" i="27"/>
  <c r="Y5" i="27"/>
  <c r="W5" i="27"/>
  <c r="V5" i="27"/>
  <c r="U5" i="27"/>
  <c r="S5" i="27"/>
  <c r="R5" i="27"/>
  <c r="Q5" i="27"/>
  <c r="O5" i="27"/>
  <c r="K5" i="27"/>
  <c r="J5" i="27"/>
  <c r="I5" i="27"/>
  <c r="H5" i="27"/>
  <c r="G5" i="27"/>
  <c r="F5" i="27"/>
  <c r="E5" i="27"/>
  <c r="D5" i="27"/>
  <c r="C5" i="27"/>
  <c r="B5" i="27"/>
  <c r="A5" i="27"/>
  <c r="AM5" i="8"/>
  <c r="AL5" i="8"/>
  <c r="AK5" i="8"/>
  <c r="AJ5" i="8"/>
  <c r="AI5" i="8"/>
  <c r="AH5" i="8"/>
  <c r="AG5" i="8"/>
  <c r="AF5" i="8"/>
  <c r="AE5" i="8"/>
  <c r="AD5" i="8"/>
  <c r="AC5" i="8"/>
  <c r="AB5" i="8"/>
  <c r="AA5" i="8"/>
  <c r="Z5" i="8"/>
  <c r="Y5" i="8"/>
  <c r="W5" i="8"/>
  <c r="V5" i="8"/>
  <c r="U5" i="8"/>
  <c r="S5" i="8"/>
  <c r="R5" i="8"/>
  <c r="Q5" i="8"/>
  <c r="O5" i="8"/>
  <c r="K5" i="8"/>
  <c r="J5" i="8"/>
  <c r="I5" i="8"/>
  <c r="H5" i="8"/>
  <c r="G5" i="8"/>
  <c r="F5" i="8"/>
  <c r="E5" i="8"/>
  <c r="D5" i="8"/>
  <c r="C5" i="8"/>
  <c r="B5" i="8"/>
  <c r="A5" i="8"/>
  <c r="A5" i="7"/>
  <c r="B5" i="7"/>
  <c r="C5" i="7"/>
  <c r="D5" i="7"/>
  <c r="E5" i="7"/>
  <c r="F5" i="7"/>
  <c r="G5" i="7"/>
  <c r="H5" i="7"/>
  <c r="I5" i="7"/>
  <c r="J5" i="7"/>
  <c r="K5" i="7"/>
  <c r="O5" i="7"/>
  <c r="Q5" i="7"/>
  <c r="R5" i="7"/>
  <c r="S5" i="7"/>
  <c r="U5" i="7"/>
  <c r="V5" i="7"/>
  <c r="W5" i="7"/>
  <c r="Y5" i="7"/>
  <c r="Z5" i="7"/>
  <c r="AA5" i="7"/>
  <c r="AB5" i="7"/>
  <c r="AC5" i="7"/>
  <c r="AD5" i="7"/>
  <c r="AE5" i="7"/>
  <c r="AF5" i="7"/>
  <c r="AG5" i="7"/>
  <c r="AH5" i="7"/>
  <c r="AI5" i="7"/>
  <c r="AJ5" i="7"/>
  <c r="AK5" i="7"/>
  <c r="AL5" i="7"/>
  <c r="AM5" i="7"/>
  <c r="I62" i="27"/>
  <c r="H62" i="27"/>
  <c r="D62" i="27"/>
  <c r="AU61" i="27"/>
  <c r="AT61" i="27"/>
  <c r="AS61" i="27"/>
  <c r="AK59" i="27"/>
  <c r="AJ61" i="27"/>
  <c r="AA6" i="27"/>
  <c r="AB6" i="27"/>
  <c r="AA7" i="27"/>
  <c r="AB7" i="27"/>
  <c r="AA8" i="27"/>
  <c r="AB8" i="27"/>
  <c r="AA9" i="27"/>
  <c r="AB9" i="27"/>
  <c r="AA10" i="27"/>
  <c r="AB10" i="27"/>
  <c r="AA11" i="27"/>
  <c r="AB11" i="27"/>
  <c r="AA12" i="27"/>
  <c r="AB12" i="27"/>
  <c r="AA13" i="27"/>
  <c r="AB13" i="27"/>
  <c r="AA14" i="27"/>
  <c r="AB14" i="27"/>
  <c r="AA15" i="27"/>
  <c r="AB15" i="27"/>
  <c r="AA16" i="27"/>
  <c r="AB16" i="27"/>
  <c r="AA17" i="27"/>
  <c r="AB17" i="27"/>
  <c r="AA18" i="27"/>
  <c r="AB18" i="27"/>
  <c r="AA19" i="27"/>
  <c r="AB19" i="27"/>
  <c r="AA20" i="27"/>
  <c r="AB20" i="27"/>
  <c r="AA21" i="27"/>
  <c r="AB21" i="27"/>
  <c r="AA22" i="27"/>
  <c r="AB22" i="27"/>
  <c r="AA23" i="27"/>
  <c r="AB23" i="27"/>
  <c r="AA24" i="27"/>
  <c r="AB24" i="27"/>
  <c r="AA25" i="27"/>
  <c r="AB25" i="27"/>
  <c r="AA26" i="27"/>
  <c r="AB26" i="27"/>
  <c r="AA27" i="27"/>
  <c r="AB27" i="27"/>
  <c r="AA28" i="27"/>
  <c r="AB28" i="27"/>
  <c r="AA29" i="27"/>
  <c r="AB29" i="27"/>
  <c r="AA30" i="27"/>
  <c r="AB30" i="27"/>
  <c r="AA31" i="27"/>
  <c r="AB31" i="27"/>
  <c r="AA32" i="27"/>
  <c r="AB32" i="27"/>
  <c r="AA33" i="27"/>
  <c r="AB33" i="27"/>
  <c r="AA34" i="27"/>
  <c r="AB34" i="27"/>
  <c r="AA35" i="27"/>
  <c r="AB35" i="27"/>
  <c r="AA36" i="27"/>
  <c r="AB36" i="27"/>
  <c r="AA37" i="27"/>
  <c r="AB37" i="27"/>
  <c r="AA38" i="27"/>
  <c r="AB38" i="27"/>
  <c r="AA39" i="27"/>
  <c r="AB39" i="27"/>
  <c r="AA40" i="27"/>
  <c r="AB40" i="27"/>
  <c r="AA41" i="27"/>
  <c r="AB41" i="27"/>
  <c r="AA42" i="27"/>
  <c r="AB42" i="27"/>
  <c r="AA43" i="27"/>
  <c r="AB43" i="27"/>
  <c r="AA44" i="27"/>
  <c r="AB44" i="27"/>
  <c r="AA45" i="27"/>
  <c r="AB45" i="27"/>
  <c r="AA46" i="27"/>
  <c r="AB46" i="27"/>
  <c r="AA47" i="27"/>
  <c r="AB47" i="27"/>
  <c r="AA48" i="27"/>
  <c r="AB48" i="27"/>
  <c r="AA49" i="27"/>
  <c r="AB49" i="27"/>
  <c r="AA50" i="27"/>
  <c r="AB50" i="27"/>
  <c r="AA51" i="27"/>
  <c r="AB51" i="27"/>
  <c r="AA52" i="27"/>
  <c r="AB52" i="27"/>
  <c r="AA53" i="27"/>
  <c r="AB53" i="27"/>
  <c r="AA54" i="27"/>
  <c r="AB54" i="27"/>
  <c r="AA55" i="27"/>
  <c r="AB55" i="27"/>
  <c r="AA56" i="27"/>
  <c r="AB56" i="27"/>
  <c r="AA57" i="27"/>
  <c r="AB57" i="27"/>
  <c r="AA58" i="27"/>
  <c r="AB58" i="27"/>
  <c r="AA59" i="27"/>
  <c r="AB59" i="27"/>
  <c r="AA60" i="27"/>
  <c r="AB60" i="27"/>
  <c r="AA61" i="27"/>
  <c r="AB61" i="27"/>
  <c r="Z6" i="27"/>
  <c r="Z7" i="27" s="1"/>
  <c r="Z8" i="27" s="1"/>
  <c r="Z9" i="27" s="1"/>
  <c r="Z10" i="27" s="1"/>
  <c r="Z11" i="27" s="1"/>
  <c r="Z12" i="27" s="1"/>
  <c r="Z13" i="27" s="1"/>
  <c r="Z14" i="27" s="1"/>
  <c r="Z15" i="27" s="1"/>
  <c r="Z16" i="27" s="1"/>
  <c r="Z17" i="27" s="1"/>
  <c r="Z18" i="27" s="1"/>
  <c r="Z19" i="27" s="1"/>
  <c r="Z20" i="27" s="1"/>
  <c r="Z21" i="27" s="1"/>
  <c r="Z22" i="27" s="1"/>
  <c r="Z23" i="27" s="1"/>
  <c r="Z24" i="27" s="1"/>
  <c r="Z25" i="27" s="1"/>
  <c r="Z26" i="27" s="1"/>
  <c r="Z27" i="27" s="1"/>
  <c r="Z28" i="27" s="1"/>
  <c r="Z29" i="27" s="1"/>
  <c r="Z30" i="27" s="1"/>
  <c r="Z31" i="27" s="1"/>
  <c r="Z32" i="27" s="1"/>
  <c r="Z33" i="27" s="1"/>
  <c r="Z34" i="27" s="1"/>
  <c r="Z35" i="27" s="1"/>
  <c r="Z36" i="27" s="1"/>
  <c r="Z37" i="27" s="1"/>
  <c r="Z38" i="27" s="1"/>
  <c r="Z39" i="27" s="1"/>
  <c r="Z40" i="27" s="1"/>
  <c r="Z41" i="27" s="1"/>
  <c r="Z42" i="27" s="1"/>
  <c r="Z43" i="27" s="1"/>
  <c r="Z44" i="27" s="1"/>
  <c r="Z45" i="27" s="1"/>
  <c r="Z46" i="27" s="1"/>
  <c r="Z47" i="27" s="1"/>
  <c r="Z48" i="27" s="1"/>
  <c r="Z49" i="27" s="1"/>
  <c r="Z50" i="27" s="1"/>
  <c r="Z51" i="27" s="1"/>
  <c r="Z52" i="27" s="1"/>
  <c r="Z53" i="27" s="1"/>
  <c r="Z54" i="27" s="1"/>
  <c r="Z55" i="27" s="1"/>
  <c r="Z56" i="27" s="1"/>
  <c r="Z57" i="27" s="1"/>
  <c r="Z58" i="27" s="1"/>
  <c r="Z59" i="27" s="1"/>
  <c r="Z60" i="27" s="1"/>
  <c r="Z61" i="27" s="1"/>
  <c r="V6" i="27"/>
  <c r="V7" i="27" s="1"/>
  <c r="V8" i="27" s="1"/>
  <c r="V9" i="27" s="1"/>
  <c r="V10" i="27" s="1"/>
  <c r="V11" i="27" s="1"/>
  <c r="V12" i="27" s="1"/>
  <c r="V13" i="27" s="1"/>
  <c r="V14" i="27" s="1"/>
  <c r="V15" i="27" s="1"/>
  <c r="V16" i="27" s="1"/>
  <c r="V17" i="27" s="1"/>
  <c r="V18" i="27" s="1"/>
  <c r="V19" i="27" s="1"/>
  <c r="V20" i="27" s="1"/>
  <c r="V21" i="27" s="1"/>
  <c r="V22" i="27" s="1"/>
  <c r="V23" i="27" s="1"/>
  <c r="V24" i="27" s="1"/>
  <c r="V25" i="27" s="1"/>
  <c r="V26" i="27" s="1"/>
  <c r="V27" i="27" s="1"/>
  <c r="V28" i="27" s="1"/>
  <c r="V29" i="27" s="1"/>
  <c r="V30" i="27" s="1"/>
  <c r="V31" i="27" s="1"/>
  <c r="V32" i="27" s="1"/>
  <c r="V33" i="27" s="1"/>
  <c r="V34" i="27" s="1"/>
  <c r="V35" i="27" s="1"/>
  <c r="V36" i="27" s="1"/>
  <c r="V37" i="27" s="1"/>
  <c r="V38" i="27" s="1"/>
  <c r="V39" i="27" s="1"/>
  <c r="V40" i="27" s="1"/>
  <c r="V41" i="27" s="1"/>
  <c r="V42" i="27" s="1"/>
  <c r="V43" i="27" s="1"/>
  <c r="V44" i="27" s="1"/>
  <c r="V45" i="27" s="1"/>
  <c r="V46" i="27" s="1"/>
  <c r="V47" i="27" s="1"/>
  <c r="V48" i="27" s="1"/>
  <c r="V49" i="27" s="1"/>
  <c r="V50" i="27" s="1"/>
  <c r="V51" i="27" s="1"/>
  <c r="V52" i="27" s="1"/>
  <c r="V53" i="27" s="1"/>
  <c r="V54" i="27" s="1"/>
  <c r="V55" i="27" s="1"/>
  <c r="V56" i="27" s="1"/>
  <c r="V57" i="27" s="1"/>
  <c r="V58" i="27" s="1"/>
  <c r="V59" i="27" s="1"/>
  <c r="V60" i="27" s="1"/>
  <c r="V61" i="27" s="1"/>
  <c r="R6" i="27"/>
  <c r="R7" i="27" s="1"/>
  <c r="R8" i="27" s="1"/>
  <c r="R9" i="27" s="1"/>
  <c r="R10" i="27" s="1"/>
  <c r="R11" i="27" s="1"/>
  <c r="R12" i="27" s="1"/>
  <c r="R13" i="27" s="1"/>
  <c r="R14" i="27" s="1"/>
  <c r="R15" i="27" s="1"/>
  <c r="R16" i="27" s="1"/>
  <c r="R17" i="27" s="1"/>
  <c r="R18" i="27" s="1"/>
  <c r="R19" i="27" s="1"/>
  <c r="R20" i="27" s="1"/>
  <c r="R21" i="27" s="1"/>
  <c r="R22" i="27" s="1"/>
  <c r="R23" i="27" s="1"/>
  <c r="R24" i="27" s="1"/>
  <c r="R25" i="27" s="1"/>
  <c r="R26" i="27" s="1"/>
  <c r="R27" i="27" s="1"/>
  <c r="R28" i="27" s="1"/>
  <c r="R29" i="27" s="1"/>
  <c r="R30" i="27" s="1"/>
  <c r="R31" i="27" s="1"/>
  <c r="R32" i="27" s="1"/>
  <c r="R33" i="27" s="1"/>
  <c r="R34" i="27" s="1"/>
  <c r="R35" i="27" s="1"/>
  <c r="R36" i="27" s="1"/>
  <c r="R37" i="27" s="1"/>
  <c r="R38" i="27" s="1"/>
  <c r="R39" i="27" s="1"/>
  <c r="R40" i="27" s="1"/>
  <c r="R41" i="27" s="1"/>
  <c r="R42" i="27" s="1"/>
  <c r="R43" i="27" s="1"/>
  <c r="R44" i="27" s="1"/>
  <c r="R45" i="27" s="1"/>
  <c r="R46" i="27" s="1"/>
  <c r="R47" i="27" s="1"/>
  <c r="R48" i="27" s="1"/>
  <c r="R49" i="27" s="1"/>
  <c r="R50" i="27" s="1"/>
  <c r="R51" i="27" s="1"/>
  <c r="R52" i="27" s="1"/>
  <c r="R53" i="27" s="1"/>
  <c r="R54" i="27" s="1"/>
  <c r="R55" i="27" s="1"/>
  <c r="R56" i="27" s="1"/>
  <c r="R57" i="27" s="1"/>
  <c r="R58" i="27" s="1"/>
  <c r="R59" i="27" s="1"/>
  <c r="R60" i="27" s="1"/>
  <c r="R61" i="27" s="1"/>
  <c r="M61" i="27"/>
  <c r="L56" i="27"/>
  <c r="L57" i="27"/>
  <c r="L49" i="27"/>
  <c r="L51" i="27" s="1"/>
  <c r="L50" i="27"/>
  <c r="L42" i="27"/>
  <c r="L43" i="27"/>
  <c r="L35" i="27"/>
  <c r="L36" i="27"/>
  <c r="L28" i="27"/>
  <c r="L29" i="27"/>
  <c r="L21" i="27"/>
  <c r="L22" i="27"/>
  <c r="L23" i="27"/>
  <c r="L14" i="27"/>
  <c r="L16" i="27" s="1"/>
  <c r="L15" i="27"/>
  <c r="L7" i="27"/>
  <c r="L10" i="27" s="1"/>
  <c r="L8" i="27"/>
  <c r="L11" i="27"/>
  <c r="K12" i="27"/>
  <c r="K61" i="27" s="1"/>
  <c r="H61" i="27"/>
  <c r="C7" i="27"/>
  <c r="C8" i="27"/>
  <c r="C9" i="27" s="1"/>
  <c r="C10" i="27" s="1"/>
  <c r="C11" i="27" s="1"/>
  <c r="C12" i="27" s="1"/>
  <c r="C13" i="27" s="1"/>
  <c r="C14" i="27" s="1"/>
  <c r="C15" i="27" s="1"/>
  <c r="C16" i="27" s="1"/>
  <c r="C17" i="27" s="1"/>
  <c r="C18" i="27" s="1"/>
  <c r="C19" i="27" s="1"/>
  <c r="C20" i="27" s="1"/>
  <c r="C21" i="27" s="1"/>
  <c r="C22" i="27" s="1"/>
  <c r="C23" i="27" s="1"/>
  <c r="C24" i="27" s="1"/>
  <c r="C25" i="27" s="1"/>
  <c r="C26" i="27" s="1"/>
  <c r="C27" i="27" s="1"/>
  <c r="C28" i="27" s="1"/>
  <c r="C29" i="27" s="1"/>
  <c r="C30" i="27" s="1"/>
  <c r="C31" i="27" s="1"/>
  <c r="C32" i="27" s="1"/>
  <c r="C33" i="27" s="1"/>
  <c r="C34" i="27" s="1"/>
  <c r="C35" i="27" s="1"/>
  <c r="C36" i="27" s="1"/>
  <c r="C37" i="27" s="1"/>
  <c r="C38" i="27" s="1"/>
  <c r="C39" i="27" s="1"/>
  <c r="C40" i="27" s="1"/>
  <c r="C41" i="27" s="1"/>
  <c r="C42" i="27" s="1"/>
  <c r="C43" i="27" s="1"/>
  <c r="C44" i="27" s="1"/>
  <c r="C45" i="27" s="1"/>
  <c r="C46" i="27" s="1"/>
  <c r="C47" i="27" s="1"/>
  <c r="C48" i="27" s="1"/>
  <c r="C49" i="27" s="1"/>
  <c r="C50" i="27" s="1"/>
  <c r="C51" i="27" s="1"/>
  <c r="C52" i="27" s="1"/>
  <c r="C53" i="27" s="1"/>
  <c r="C54" i="27" s="1"/>
  <c r="C55" i="27" s="1"/>
  <c r="C56" i="27" s="1"/>
  <c r="C57" i="27" s="1"/>
  <c r="C58" i="27" s="1"/>
  <c r="C59" i="27" s="1"/>
  <c r="C60" i="27" s="1"/>
  <c r="C61" i="27" s="1"/>
  <c r="AU60" i="27"/>
  <c r="AT60" i="27"/>
  <c r="AS60" i="27"/>
  <c r="AJ60" i="27"/>
  <c r="M60" i="27"/>
  <c r="K11" i="27"/>
  <c r="K60" i="27" s="1"/>
  <c r="H60" i="27"/>
  <c r="AU59" i="27"/>
  <c r="AT59" i="27"/>
  <c r="AS59" i="27"/>
  <c r="AM59" i="27"/>
  <c r="AJ59" i="27"/>
  <c r="M59" i="27"/>
  <c r="K10" i="27"/>
  <c r="K59" i="27"/>
  <c r="H59" i="27"/>
  <c r="AU58" i="27"/>
  <c r="AT58" i="27"/>
  <c r="AS58" i="27"/>
  <c r="AK58" i="27"/>
  <c r="AM58" i="27" s="1"/>
  <c r="AJ16" i="27"/>
  <c r="AJ23" i="27"/>
  <c r="AJ30" i="27" s="1"/>
  <c r="AJ37" i="27" s="1"/>
  <c r="AJ44" i="27" s="1"/>
  <c r="AJ51" i="27" s="1"/>
  <c r="AJ58" i="27" s="1"/>
  <c r="K9" i="27"/>
  <c r="K44" i="27" s="1"/>
  <c r="H58" i="27"/>
  <c r="AU57" i="27"/>
  <c r="AT57" i="27"/>
  <c r="AS57" i="27"/>
  <c r="AJ57" i="27"/>
  <c r="AI57" i="27"/>
  <c r="K8" i="27"/>
  <c r="H57" i="27"/>
  <c r="AU56" i="27"/>
  <c r="AT56" i="27"/>
  <c r="AS56" i="27"/>
  <c r="AJ56" i="27"/>
  <c r="K7" i="27"/>
  <c r="K56" i="27"/>
  <c r="H56" i="27"/>
  <c r="AU55" i="27"/>
  <c r="AT55" i="27"/>
  <c r="AS55" i="27"/>
  <c r="AJ55" i="27"/>
  <c r="AI55" i="27"/>
  <c r="M6" i="27"/>
  <c r="L6" i="27"/>
  <c r="L55" i="27" s="1"/>
  <c r="K6" i="27"/>
  <c r="K55" i="27"/>
  <c r="H55" i="27"/>
  <c r="AU54" i="27"/>
  <c r="AT54" i="27"/>
  <c r="AS54" i="27"/>
  <c r="AK52" i="27"/>
  <c r="AK53" i="27" s="1"/>
  <c r="AK54" i="27"/>
  <c r="AM54" i="27" s="1"/>
  <c r="AR49" i="27" s="1"/>
  <c r="AJ54" i="27"/>
  <c r="M54" i="27"/>
  <c r="H54" i="27"/>
  <c r="AU53" i="27"/>
  <c r="AT53" i="27"/>
  <c r="AS53" i="27"/>
  <c r="AJ53" i="27"/>
  <c r="M53" i="27"/>
  <c r="H53" i="27"/>
  <c r="AU52" i="27"/>
  <c r="AT52" i="27"/>
  <c r="AS52" i="27"/>
  <c r="AM52" i="27"/>
  <c r="AJ52" i="27"/>
  <c r="M52" i="27"/>
  <c r="K52" i="27"/>
  <c r="H52" i="27"/>
  <c r="AU51" i="27"/>
  <c r="AT51" i="27"/>
  <c r="AS51" i="27"/>
  <c r="AK51" i="27"/>
  <c r="AM51" i="27"/>
  <c r="H51" i="27"/>
  <c r="AU50" i="27"/>
  <c r="AT50" i="27"/>
  <c r="AS50" i="27"/>
  <c r="AO44" i="27"/>
  <c r="AO45" i="27" s="1"/>
  <c r="AO46" i="27" s="1"/>
  <c r="AO47" i="27" s="1"/>
  <c r="AO48" i="27" s="1"/>
  <c r="AO49" i="27" s="1"/>
  <c r="AO50" i="27" s="1"/>
  <c r="AM50" i="27"/>
  <c r="AJ50" i="27"/>
  <c r="AI50" i="27"/>
  <c r="H50" i="27"/>
  <c r="AU49" i="27"/>
  <c r="AT49" i="27"/>
  <c r="AS49" i="27"/>
  <c r="AP49" i="27"/>
  <c r="AJ49" i="27"/>
  <c r="H49" i="27"/>
  <c r="AU48" i="27"/>
  <c r="AT48" i="27"/>
  <c r="AS48" i="27"/>
  <c r="AK45" i="27"/>
  <c r="AJ48" i="27"/>
  <c r="AI48" i="27"/>
  <c r="K48" i="27"/>
  <c r="H48" i="27"/>
  <c r="AU47" i="27"/>
  <c r="AT47" i="27"/>
  <c r="AS47" i="27"/>
  <c r="AK38" i="27"/>
  <c r="AK40" i="27"/>
  <c r="AP47" i="27" s="1"/>
  <c r="AJ47" i="27"/>
  <c r="M47" i="27"/>
  <c r="H47" i="27"/>
  <c r="AU46" i="27"/>
  <c r="AT46" i="27"/>
  <c r="AS46" i="27"/>
  <c r="AK31" i="27"/>
  <c r="AK33" i="27" s="1"/>
  <c r="AP46" i="27" s="1"/>
  <c r="AL31" i="27"/>
  <c r="AL32" i="27" s="1"/>
  <c r="AQ37" i="27" s="1"/>
  <c r="AL33" i="27"/>
  <c r="AQ46" i="27" s="1"/>
  <c r="AJ46" i="27"/>
  <c r="M46" i="27"/>
  <c r="K46" i="27"/>
  <c r="H46" i="27"/>
  <c r="AU45" i="27"/>
  <c r="AT45" i="27"/>
  <c r="AS45" i="27"/>
  <c r="AK24" i="27"/>
  <c r="AK26" i="27"/>
  <c r="AP45" i="27" s="1"/>
  <c r="AM45" i="27"/>
  <c r="AJ45" i="27"/>
  <c r="M45" i="27"/>
  <c r="K45" i="27"/>
  <c r="H45" i="27"/>
  <c r="AZ38" i="27"/>
  <c r="AZ39" i="27" s="1"/>
  <c r="AZ40" i="27" s="1"/>
  <c r="AZ41" i="27" s="1"/>
  <c r="AZ42" i="27" s="1"/>
  <c r="AZ43" i="27" s="1"/>
  <c r="AZ44" i="27" s="1"/>
  <c r="AU44" i="27"/>
  <c r="AT44" i="27"/>
  <c r="AS44" i="27"/>
  <c r="AK17" i="27"/>
  <c r="AK44" i="27"/>
  <c r="AM44" i="27" s="1"/>
  <c r="H44" i="27"/>
  <c r="BB43" i="27"/>
  <c r="AU43" i="27"/>
  <c r="AT43" i="27"/>
  <c r="AS43" i="27"/>
  <c r="AK10" i="27"/>
  <c r="AK12" i="27"/>
  <c r="AP43" i="27" s="1"/>
  <c r="AM12" i="27"/>
  <c r="AR43" i="27" s="1"/>
  <c r="AL10" i="27"/>
  <c r="AL12" i="27" s="1"/>
  <c r="AQ43" i="27" s="1"/>
  <c r="AM43" i="27"/>
  <c r="AJ43" i="27"/>
  <c r="AI43" i="27"/>
  <c r="H43" i="27"/>
  <c r="AU42" i="27"/>
  <c r="AT42" i="27"/>
  <c r="AS42" i="27"/>
  <c r="AJ42" i="27"/>
  <c r="K42" i="27"/>
  <c r="H42" i="27"/>
  <c r="BB41" i="27"/>
  <c r="AU41" i="27"/>
  <c r="AT41" i="27"/>
  <c r="AS41" i="27"/>
  <c r="AO35" i="27"/>
  <c r="AO36" i="27" s="1"/>
  <c r="AO37" i="27" s="1"/>
  <c r="AO38" i="27" s="1"/>
  <c r="AO39" i="27" s="1"/>
  <c r="AO40" i="27" s="1"/>
  <c r="AO41" i="27" s="1"/>
  <c r="AJ41" i="27"/>
  <c r="AI41" i="27"/>
  <c r="H41" i="27"/>
  <c r="BB40" i="27"/>
  <c r="AU40" i="27"/>
  <c r="AT40" i="27"/>
  <c r="AS40" i="27"/>
  <c r="AJ40" i="27"/>
  <c r="M40" i="27"/>
  <c r="K40" i="27"/>
  <c r="H40" i="27"/>
  <c r="BB39" i="27"/>
  <c r="AU39" i="27"/>
  <c r="AT39" i="27"/>
  <c r="AS39" i="27"/>
  <c r="AK39" i="27"/>
  <c r="AM39" i="27"/>
  <c r="AR38" i="27" s="1"/>
  <c r="AJ39" i="27"/>
  <c r="M39" i="27"/>
  <c r="K39" i="27"/>
  <c r="H39" i="27"/>
  <c r="BB38" i="27"/>
  <c r="AU38" i="27"/>
  <c r="AT38" i="27"/>
  <c r="AS38" i="27"/>
  <c r="AP38" i="27"/>
  <c r="AM38" i="27"/>
  <c r="AJ38" i="27"/>
  <c r="M38" i="27"/>
  <c r="K38" i="27"/>
  <c r="H38" i="27"/>
  <c r="AU37" i="27"/>
  <c r="AT37" i="27"/>
  <c r="AS37" i="27"/>
  <c r="AK37" i="27"/>
  <c r="AM37" i="27" s="1"/>
  <c r="H37" i="27"/>
  <c r="AU36" i="27"/>
  <c r="AT36" i="27"/>
  <c r="AS36" i="27"/>
  <c r="AK25" i="27"/>
  <c r="AP36" i="27" s="1"/>
  <c r="AM36" i="27"/>
  <c r="AJ36" i="27"/>
  <c r="AI36" i="27"/>
  <c r="K36" i="27"/>
  <c r="H36" i="27"/>
  <c r="AU35" i="27"/>
  <c r="AT35" i="27"/>
  <c r="AS35" i="27"/>
  <c r="AJ35" i="27"/>
  <c r="K35" i="27"/>
  <c r="H35" i="27"/>
  <c r="AU34" i="27"/>
  <c r="AT34" i="27"/>
  <c r="AS34" i="27"/>
  <c r="AK11" i="27"/>
  <c r="AP34" i="27" s="1"/>
  <c r="AJ34" i="27"/>
  <c r="AI34" i="27"/>
  <c r="M34" i="27"/>
  <c r="K34" i="27"/>
  <c r="H34" i="27"/>
  <c r="AU33" i="27"/>
  <c r="AT33" i="27"/>
  <c r="AS33" i="27"/>
  <c r="AJ33" i="27"/>
  <c r="M33" i="27"/>
  <c r="K33" i="27"/>
  <c r="H33" i="27"/>
  <c r="AU32" i="27"/>
  <c r="AT32" i="27"/>
  <c r="AS32" i="27"/>
  <c r="AO26" i="27"/>
  <c r="AO27" i="27" s="1"/>
  <c r="AO28" i="27" s="1"/>
  <c r="AO29" i="27" s="1"/>
  <c r="AO30" i="27" s="1"/>
  <c r="AO31" i="27" s="1"/>
  <c r="AO32" i="27" s="1"/>
  <c r="AJ32" i="27"/>
  <c r="M32" i="27"/>
  <c r="K32" i="27"/>
  <c r="H32" i="27"/>
  <c r="AU31" i="27"/>
  <c r="AT31" i="27"/>
  <c r="AS31" i="27"/>
  <c r="AR31" i="27"/>
  <c r="AP31" i="27"/>
  <c r="AM31" i="27"/>
  <c r="AJ31" i="27"/>
  <c r="M31" i="27"/>
  <c r="K31" i="27"/>
  <c r="H31" i="27"/>
  <c r="AU30" i="27"/>
  <c r="AT30" i="27"/>
  <c r="AS30" i="27"/>
  <c r="AR30" i="27"/>
  <c r="AK30" i="27"/>
  <c r="AM30" i="27" s="1"/>
  <c r="H30" i="27"/>
  <c r="AU29" i="27"/>
  <c r="AT29" i="27"/>
  <c r="AS29" i="27"/>
  <c r="AR29" i="27"/>
  <c r="AP29" i="27"/>
  <c r="AM29" i="27"/>
  <c r="AR28" i="27" s="1"/>
  <c r="AJ29" i="27"/>
  <c r="AI29" i="27"/>
  <c r="H29" i="27"/>
  <c r="AU28" i="27"/>
  <c r="AT28" i="27"/>
  <c r="AS28" i="27"/>
  <c r="AQ28" i="27"/>
  <c r="AP28" i="27"/>
  <c r="AJ28" i="27"/>
  <c r="H28" i="27"/>
  <c r="AU27" i="27"/>
  <c r="AT27" i="27"/>
  <c r="AS27" i="27"/>
  <c r="AM22" i="27"/>
  <c r="AR27" i="27" s="1"/>
  <c r="AP27" i="27"/>
  <c r="AJ27" i="27"/>
  <c r="AI27" i="27"/>
  <c r="H27" i="27"/>
  <c r="AU26" i="27"/>
  <c r="AT26" i="27"/>
  <c r="AS26" i="27"/>
  <c r="AM15" i="27"/>
  <c r="AR26" i="27" s="1"/>
  <c r="AP26" i="27"/>
  <c r="AJ26" i="27"/>
  <c r="M26" i="27"/>
  <c r="H26" i="27"/>
  <c r="AU25" i="27"/>
  <c r="AT25" i="27"/>
  <c r="AS25" i="27"/>
  <c r="AM8" i="27"/>
  <c r="AR25" i="27" s="1"/>
  <c r="AQ25" i="27"/>
  <c r="AP25" i="27"/>
  <c r="AJ25" i="27"/>
  <c r="M25" i="27"/>
  <c r="H25" i="27"/>
  <c r="AU24" i="27"/>
  <c r="AT24" i="27"/>
  <c r="AS24" i="27"/>
  <c r="AM24" i="27"/>
  <c r="AJ24" i="27"/>
  <c r="M24" i="27"/>
  <c r="K24" i="27"/>
  <c r="H24" i="27"/>
  <c r="AU23" i="27"/>
  <c r="AT23" i="27"/>
  <c r="AS23" i="27"/>
  <c r="AO17" i="27"/>
  <c r="AO18" i="27" s="1"/>
  <c r="AO19" i="27" s="1"/>
  <c r="AO20" i="27" s="1"/>
  <c r="AO21" i="27" s="1"/>
  <c r="AO22" i="27" s="1"/>
  <c r="AO23" i="27" s="1"/>
  <c r="AK23" i="27"/>
  <c r="AM23" i="27"/>
  <c r="H23" i="27"/>
  <c r="AU22" i="27"/>
  <c r="AT22" i="27"/>
  <c r="AS22" i="27"/>
  <c r="AJ22" i="27"/>
  <c r="AI22" i="27"/>
  <c r="H22" i="27"/>
  <c r="AU21" i="27"/>
  <c r="AT21" i="27"/>
  <c r="AS21" i="27"/>
  <c r="AJ21" i="27"/>
  <c r="K21" i="27"/>
  <c r="H21" i="27"/>
  <c r="AU20" i="27"/>
  <c r="AT20" i="27"/>
  <c r="AS20" i="27"/>
  <c r="AJ20" i="27"/>
  <c r="AI20" i="27"/>
  <c r="M20" i="27"/>
  <c r="L20" i="27"/>
  <c r="K20" i="27"/>
  <c r="H20" i="27"/>
  <c r="AU19" i="27"/>
  <c r="AT19" i="27"/>
  <c r="AS19" i="27"/>
  <c r="AJ19" i="27"/>
  <c r="M19" i="27"/>
  <c r="K19" i="27"/>
  <c r="H19" i="27"/>
  <c r="AU18" i="27"/>
  <c r="AT18" i="27"/>
  <c r="AS18" i="27"/>
  <c r="AJ18" i="27"/>
  <c r="M18" i="27"/>
  <c r="K18" i="27"/>
  <c r="H18" i="27"/>
  <c r="AU17" i="27"/>
  <c r="AT17" i="27"/>
  <c r="AS17" i="27"/>
  <c r="AM17" i="27"/>
  <c r="AJ17" i="27"/>
  <c r="M17" i="27"/>
  <c r="K17" i="27"/>
  <c r="H17" i="27"/>
  <c r="AU16" i="27"/>
  <c r="AT16" i="27"/>
  <c r="AS16" i="27"/>
  <c r="AK16" i="27"/>
  <c r="AM16" i="27" s="1"/>
  <c r="H16" i="27"/>
  <c r="AU15" i="27"/>
  <c r="AT15" i="27"/>
  <c r="AS15" i="27"/>
  <c r="AJ15" i="27"/>
  <c r="AI15" i="27"/>
  <c r="H15" i="27"/>
  <c r="AU14" i="27"/>
  <c r="AT14" i="27"/>
  <c r="AS14" i="27"/>
  <c r="AO8" i="27"/>
  <c r="AO9" i="27"/>
  <c r="AO10" i="27" s="1"/>
  <c r="AO11" i="27" s="1"/>
  <c r="AO12" i="27" s="1"/>
  <c r="AO13" i="27" s="1"/>
  <c r="AO14" i="27" s="1"/>
  <c r="AJ14" i="27"/>
  <c r="K14" i="27"/>
  <c r="H14" i="27"/>
  <c r="AU13" i="27"/>
  <c r="AT13" i="27"/>
  <c r="AS13" i="27"/>
  <c r="AJ13" i="27"/>
  <c r="AI13" i="27"/>
  <c r="N13" i="27"/>
  <c r="L13" i="27"/>
  <c r="K13" i="27"/>
  <c r="H13" i="27"/>
  <c r="AU12" i="27"/>
  <c r="AT12" i="27"/>
  <c r="AS12" i="27"/>
  <c r="M12" i="27"/>
  <c r="H12" i="27"/>
  <c r="AU11" i="27"/>
  <c r="AT11" i="27"/>
  <c r="AS11" i="27"/>
  <c r="AG11" i="27"/>
  <c r="M11" i="27"/>
  <c r="H11" i="27"/>
  <c r="AU10" i="27"/>
  <c r="AT10" i="27"/>
  <c r="AS10" i="27"/>
  <c r="AM10" i="27"/>
  <c r="AG10" i="27"/>
  <c r="M10" i="27"/>
  <c r="H10" i="27"/>
  <c r="AU9" i="27"/>
  <c r="AT9" i="27"/>
  <c r="AS9" i="27"/>
  <c r="AK9" i="27"/>
  <c r="AM9" i="27" s="1"/>
  <c r="AL9" i="27"/>
  <c r="AG9" i="27"/>
  <c r="M9" i="27"/>
  <c r="L9" i="27"/>
  <c r="H9" i="27"/>
  <c r="AU8" i="27"/>
  <c r="AT8" i="27"/>
  <c r="AS8" i="27"/>
  <c r="AG8" i="27"/>
  <c r="M8" i="27"/>
  <c r="H8" i="27"/>
  <c r="AU7" i="27"/>
  <c r="AT7" i="27"/>
  <c r="AS7" i="27"/>
  <c r="AG7" i="27"/>
  <c r="M7" i="27"/>
  <c r="H7" i="27"/>
  <c r="AU6" i="27"/>
  <c r="AT6" i="27"/>
  <c r="AS6" i="27"/>
  <c r="AG6" i="27"/>
  <c r="H6" i="27"/>
  <c r="AI4" i="27"/>
  <c r="AA4" i="27"/>
  <c r="W4" i="5"/>
  <c r="S4" i="5"/>
  <c r="O4" i="27"/>
  <c r="K4" i="27"/>
  <c r="I4" i="27"/>
  <c r="H4" i="27"/>
  <c r="G4" i="27"/>
  <c r="E4" i="27"/>
  <c r="D4" i="27"/>
  <c r="AD3" i="27"/>
  <c r="AA3" i="27"/>
  <c r="W3" i="27"/>
  <c r="S3" i="27"/>
  <c r="O3" i="27"/>
  <c r="K3" i="27"/>
  <c r="H3" i="27"/>
  <c r="D3" i="27"/>
  <c r="AD2" i="27"/>
  <c r="AC2" i="27"/>
  <c r="Y2" i="5"/>
  <c r="Y2" i="27" s="1"/>
  <c r="W2" i="27"/>
  <c r="U2" i="27"/>
  <c r="S2" i="27"/>
  <c r="O2" i="27"/>
  <c r="K2" i="27"/>
  <c r="H2" i="27"/>
  <c r="D2" i="27"/>
  <c r="AD1" i="27"/>
  <c r="Y1" i="27"/>
  <c r="W1" i="27"/>
  <c r="S1" i="27"/>
  <c r="O1" i="27"/>
  <c r="K1" i="27"/>
  <c r="H1" i="27"/>
  <c r="D1" i="27"/>
  <c r="H62" i="26"/>
  <c r="D62" i="26"/>
  <c r="AU61" i="26"/>
  <c r="AT61" i="26"/>
  <c r="AS61" i="26"/>
  <c r="AK59" i="26"/>
  <c r="AJ61" i="26"/>
  <c r="AA6" i="26"/>
  <c r="AB6" i="26"/>
  <c r="AA7" i="26"/>
  <c r="AB7" i="26"/>
  <c r="AA8" i="26"/>
  <c r="AB8" i="26"/>
  <c r="AA9" i="26"/>
  <c r="AB9" i="26"/>
  <c r="AA10" i="26"/>
  <c r="AB10" i="26"/>
  <c r="AA11" i="26"/>
  <c r="AB11" i="26"/>
  <c r="AA12" i="26"/>
  <c r="AB12" i="26"/>
  <c r="AA13" i="26"/>
  <c r="AB13" i="26"/>
  <c r="AA14" i="26"/>
  <c r="AB14" i="26"/>
  <c r="AA15" i="26"/>
  <c r="AB15" i="26"/>
  <c r="AA16" i="26"/>
  <c r="AB16" i="26"/>
  <c r="AA17" i="26"/>
  <c r="AB17" i="26"/>
  <c r="AA18" i="26"/>
  <c r="AB18" i="26"/>
  <c r="AA19" i="26"/>
  <c r="AB19" i="26"/>
  <c r="AA20" i="26"/>
  <c r="AB20" i="26"/>
  <c r="AA21" i="26"/>
  <c r="AB21" i="26"/>
  <c r="AA22" i="26"/>
  <c r="AB22" i="26"/>
  <c r="AA23" i="26"/>
  <c r="AB23" i="26"/>
  <c r="AA24" i="26"/>
  <c r="AB24" i="26"/>
  <c r="AA25" i="26"/>
  <c r="AB25" i="26"/>
  <c r="AA26" i="26"/>
  <c r="AB26" i="26"/>
  <c r="AA27" i="26"/>
  <c r="AB27" i="26"/>
  <c r="AA28" i="26"/>
  <c r="AB28" i="26"/>
  <c r="AA29" i="26"/>
  <c r="AB29" i="26"/>
  <c r="AA30" i="26"/>
  <c r="AB30" i="26"/>
  <c r="AA31" i="26"/>
  <c r="AB31" i="26"/>
  <c r="AA32" i="26"/>
  <c r="AB32" i="26"/>
  <c r="AA33" i="26"/>
  <c r="AB33" i="26"/>
  <c r="AA34" i="26"/>
  <c r="AB34" i="26"/>
  <c r="AA35" i="26"/>
  <c r="AB35" i="26"/>
  <c r="AA36" i="26"/>
  <c r="AB36" i="26"/>
  <c r="AA37" i="26"/>
  <c r="AB37" i="26"/>
  <c r="AA38" i="26"/>
  <c r="AB38" i="26"/>
  <c r="AA39" i="26"/>
  <c r="AB39" i="26"/>
  <c r="AA40" i="26"/>
  <c r="AB40" i="26"/>
  <c r="AA41" i="26"/>
  <c r="AB41" i="26"/>
  <c r="AA42" i="26"/>
  <c r="AB42" i="26"/>
  <c r="AA43" i="26"/>
  <c r="AB43" i="26"/>
  <c r="AA44" i="26"/>
  <c r="AB44" i="26"/>
  <c r="AA45" i="26"/>
  <c r="AB45" i="26"/>
  <c r="AA46" i="26"/>
  <c r="AB46" i="26"/>
  <c r="AA47" i="26"/>
  <c r="AB47" i="26"/>
  <c r="AA48" i="26"/>
  <c r="AB48" i="26"/>
  <c r="AA49" i="26"/>
  <c r="AB49" i="26"/>
  <c r="AA50" i="26"/>
  <c r="AB50" i="26"/>
  <c r="AA51" i="26"/>
  <c r="AB51" i="26"/>
  <c r="AA52" i="26"/>
  <c r="AB52" i="26"/>
  <c r="AA53" i="26"/>
  <c r="AB53" i="26"/>
  <c r="AA54" i="26"/>
  <c r="AB54" i="26"/>
  <c r="AA55" i="26"/>
  <c r="AB55" i="26"/>
  <c r="AA56" i="26"/>
  <c r="AB56" i="26"/>
  <c r="AA57" i="26"/>
  <c r="AB57" i="26"/>
  <c r="AA58" i="26"/>
  <c r="AB58" i="26"/>
  <c r="AA59" i="26"/>
  <c r="AB59" i="26"/>
  <c r="AA60" i="26"/>
  <c r="AB60" i="26"/>
  <c r="AA61" i="26"/>
  <c r="AB61" i="26"/>
  <c r="Z6" i="26"/>
  <c r="Z7" i="26" s="1"/>
  <c r="Z8" i="26" s="1"/>
  <c r="Z9" i="26" s="1"/>
  <c r="Z10" i="26" s="1"/>
  <c r="Z11" i="26" s="1"/>
  <c r="Z12" i="26" s="1"/>
  <c r="Z13" i="26" s="1"/>
  <c r="Z14" i="26" s="1"/>
  <c r="Z15" i="26" s="1"/>
  <c r="Z16" i="26" s="1"/>
  <c r="Z17" i="26" s="1"/>
  <c r="Z18" i="26" s="1"/>
  <c r="Z19" i="26" s="1"/>
  <c r="Z20" i="26" s="1"/>
  <c r="Z21" i="26" s="1"/>
  <c r="Z22" i="26" s="1"/>
  <c r="Z23" i="26" s="1"/>
  <c r="Z24" i="26" s="1"/>
  <c r="Z25" i="26" s="1"/>
  <c r="Z26" i="26" s="1"/>
  <c r="Z27" i="26" s="1"/>
  <c r="Z28" i="26" s="1"/>
  <c r="Z29" i="26" s="1"/>
  <c r="Z30" i="26" s="1"/>
  <c r="Z31" i="26" s="1"/>
  <c r="Z32" i="26" s="1"/>
  <c r="Z33" i="26" s="1"/>
  <c r="Z34" i="26" s="1"/>
  <c r="Z35" i="26" s="1"/>
  <c r="Z36" i="26" s="1"/>
  <c r="Z37" i="26" s="1"/>
  <c r="Z38" i="26" s="1"/>
  <c r="Z39" i="26" s="1"/>
  <c r="Z40" i="26" s="1"/>
  <c r="Z41" i="26" s="1"/>
  <c r="Z42" i="26" s="1"/>
  <c r="Z43" i="26" s="1"/>
  <c r="Z44" i="26" s="1"/>
  <c r="Z45" i="26" s="1"/>
  <c r="Z46" i="26" s="1"/>
  <c r="Z47" i="26" s="1"/>
  <c r="Z48" i="26" s="1"/>
  <c r="Z49" i="26" s="1"/>
  <c r="Z50" i="26" s="1"/>
  <c r="Z51" i="26" s="1"/>
  <c r="Z52" i="26" s="1"/>
  <c r="Z53" i="26" s="1"/>
  <c r="Z54" i="26" s="1"/>
  <c r="Z55" i="26" s="1"/>
  <c r="Z56" i="26" s="1"/>
  <c r="Z57" i="26" s="1"/>
  <c r="Z58" i="26" s="1"/>
  <c r="Z59" i="26" s="1"/>
  <c r="Z60" i="26" s="1"/>
  <c r="Z61" i="26" s="1"/>
  <c r="V6" i="26"/>
  <c r="V7" i="26" s="1"/>
  <c r="V8" i="26" s="1"/>
  <c r="V9" i="26" s="1"/>
  <c r="V10" i="26" s="1"/>
  <c r="V11" i="26" s="1"/>
  <c r="V12" i="26" s="1"/>
  <c r="V13" i="26" s="1"/>
  <c r="V14" i="26" s="1"/>
  <c r="V15" i="26" s="1"/>
  <c r="V16" i="26" s="1"/>
  <c r="V17" i="26" s="1"/>
  <c r="V18" i="26" s="1"/>
  <c r="V19" i="26" s="1"/>
  <c r="V20" i="26" s="1"/>
  <c r="V21" i="26" s="1"/>
  <c r="V22" i="26" s="1"/>
  <c r="V23" i="26" s="1"/>
  <c r="V24" i="26" s="1"/>
  <c r="V25" i="26" s="1"/>
  <c r="V26" i="26" s="1"/>
  <c r="V27" i="26" s="1"/>
  <c r="V28" i="26" s="1"/>
  <c r="V29" i="26" s="1"/>
  <c r="V30" i="26" s="1"/>
  <c r="V31" i="26" s="1"/>
  <c r="V32" i="26" s="1"/>
  <c r="V33" i="26" s="1"/>
  <c r="V34" i="26" s="1"/>
  <c r="V35" i="26" s="1"/>
  <c r="V36" i="26" s="1"/>
  <c r="V37" i="26" s="1"/>
  <c r="V38" i="26" s="1"/>
  <c r="V39" i="26" s="1"/>
  <c r="V40" i="26" s="1"/>
  <c r="V41" i="26" s="1"/>
  <c r="V42" i="26" s="1"/>
  <c r="V43" i="26" s="1"/>
  <c r="V44" i="26" s="1"/>
  <c r="V45" i="26" s="1"/>
  <c r="V46" i="26" s="1"/>
  <c r="V47" i="26" s="1"/>
  <c r="V48" i="26" s="1"/>
  <c r="V49" i="26" s="1"/>
  <c r="V50" i="26" s="1"/>
  <c r="V51" i="26" s="1"/>
  <c r="V52" i="26" s="1"/>
  <c r="V53" i="26" s="1"/>
  <c r="V54" i="26" s="1"/>
  <c r="V55" i="26" s="1"/>
  <c r="V56" i="26" s="1"/>
  <c r="V57" i="26" s="1"/>
  <c r="V58" i="26" s="1"/>
  <c r="V59" i="26" s="1"/>
  <c r="V60" i="26" s="1"/>
  <c r="V61" i="26" s="1"/>
  <c r="R6" i="26"/>
  <c r="R7" i="26"/>
  <c r="R8" i="26" s="1"/>
  <c r="R9" i="26" s="1"/>
  <c r="R10" i="26" s="1"/>
  <c r="R11" i="26" s="1"/>
  <c r="R12" i="26" s="1"/>
  <c r="R13" i="26" s="1"/>
  <c r="R14" i="26" s="1"/>
  <c r="R15" i="26" s="1"/>
  <c r="R16" i="26" s="1"/>
  <c r="R17" i="26" s="1"/>
  <c r="R18" i="26" s="1"/>
  <c r="R19" i="26" s="1"/>
  <c r="R20" i="26" s="1"/>
  <c r="R21" i="26" s="1"/>
  <c r="R22" i="26" s="1"/>
  <c r="R23" i="26" s="1"/>
  <c r="R24" i="26" s="1"/>
  <c r="R25" i="26" s="1"/>
  <c r="R26" i="26" s="1"/>
  <c r="R27" i="26" s="1"/>
  <c r="R28" i="26" s="1"/>
  <c r="R29" i="26" s="1"/>
  <c r="R30" i="26" s="1"/>
  <c r="R31" i="26" s="1"/>
  <c r="R32" i="26" s="1"/>
  <c r="R33" i="26" s="1"/>
  <c r="R34" i="26" s="1"/>
  <c r="R35" i="26" s="1"/>
  <c r="R36" i="26" s="1"/>
  <c r="R37" i="26" s="1"/>
  <c r="R38" i="26" s="1"/>
  <c r="R39" i="26" s="1"/>
  <c r="R40" i="26" s="1"/>
  <c r="R41" i="26" s="1"/>
  <c r="R42" i="26" s="1"/>
  <c r="R43" i="26" s="1"/>
  <c r="R44" i="26" s="1"/>
  <c r="R45" i="26" s="1"/>
  <c r="R46" i="26" s="1"/>
  <c r="R47" i="26" s="1"/>
  <c r="R48" i="26" s="1"/>
  <c r="R49" i="26" s="1"/>
  <c r="R50" i="26" s="1"/>
  <c r="R51" i="26" s="1"/>
  <c r="R52" i="26" s="1"/>
  <c r="R53" i="26" s="1"/>
  <c r="R54" i="26" s="1"/>
  <c r="R55" i="26" s="1"/>
  <c r="R56" i="26" s="1"/>
  <c r="R57" i="26" s="1"/>
  <c r="R58" i="26" s="1"/>
  <c r="R59" i="26" s="1"/>
  <c r="R60" i="26" s="1"/>
  <c r="R61" i="26" s="1"/>
  <c r="M61" i="26"/>
  <c r="L56" i="26"/>
  <c r="L58" i="26" s="1"/>
  <c r="L57" i="26"/>
  <c r="L49" i="26"/>
  <c r="L50" i="26"/>
  <c r="L42" i="26"/>
  <c r="L43" i="26"/>
  <c r="L35" i="26"/>
  <c r="L36" i="26"/>
  <c r="L28" i="26"/>
  <c r="L29" i="26"/>
  <c r="L21" i="26"/>
  <c r="L22" i="26"/>
  <c r="L14" i="26"/>
  <c r="L15" i="26"/>
  <c r="L7" i="26"/>
  <c r="L10" i="26" s="1"/>
  <c r="L12" i="26" s="1"/>
  <c r="L8" i="26"/>
  <c r="L11" i="26"/>
  <c r="K12" i="26"/>
  <c r="H61" i="26"/>
  <c r="C7" i="26"/>
  <c r="C8" i="26" s="1"/>
  <c r="C9" i="26" s="1"/>
  <c r="C10" i="26" s="1"/>
  <c r="C11" i="26" s="1"/>
  <c r="C12" i="26" s="1"/>
  <c r="C13" i="26" s="1"/>
  <c r="C14" i="26" s="1"/>
  <c r="C15" i="26" s="1"/>
  <c r="C16" i="26" s="1"/>
  <c r="C17" i="26" s="1"/>
  <c r="C18" i="26" s="1"/>
  <c r="C19" i="26" s="1"/>
  <c r="C20" i="26" s="1"/>
  <c r="C21" i="26" s="1"/>
  <c r="C22" i="26" s="1"/>
  <c r="C23" i="26" s="1"/>
  <c r="C24" i="26" s="1"/>
  <c r="C25" i="26" s="1"/>
  <c r="C26" i="26" s="1"/>
  <c r="C27" i="26" s="1"/>
  <c r="C28" i="26" s="1"/>
  <c r="C29" i="26" s="1"/>
  <c r="C30" i="26" s="1"/>
  <c r="C31" i="26" s="1"/>
  <c r="C32" i="26" s="1"/>
  <c r="C33" i="26" s="1"/>
  <c r="C34" i="26" s="1"/>
  <c r="C35" i="26" s="1"/>
  <c r="C36" i="26" s="1"/>
  <c r="C37" i="26" s="1"/>
  <c r="C38" i="26" s="1"/>
  <c r="C39" i="26" s="1"/>
  <c r="C40" i="26" s="1"/>
  <c r="C41" i="26" s="1"/>
  <c r="C42" i="26" s="1"/>
  <c r="C43" i="26" s="1"/>
  <c r="C44" i="26" s="1"/>
  <c r="C45" i="26" s="1"/>
  <c r="C46" i="26" s="1"/>
  <c r="C47" i="26" s="1"/>
  <c r="C48" i="26" s="1"/>
  <c r="C49" i="26" s="1"/>
  <c r="C50" i="26" s="1"/>
  <c r="C51" i="26" s="1"/>
  <c r="C52" i="26" s="1"/>
  <c r="C53" i="26" s="1"/>
  <c r="C54" i="26" s="1"/>
  <c r="C55" i="26" s="1"/>
  <c r="C56" i="26" s="1"/>
  <c r="C57" i="26" s="1"/>
  <c r="C58" i="26" s="1"/>
  <c r="C59" i="26" s="1"/>
  <c r="C60" i="26" s="1"/>
  <c r="C61" i="26" s="1"/>
  <c r="AU60" i="26"/>
  <c r="AT60" i="26"/>
  <c r="AS60" i="26"/>
  <c r="AJ60" i="26"/>
  <c r="M60" i="26"/>
  <c r="L18" i="26"/>
  <c r="L25" i="26" s="1"/>
  <c r="L32" i="26" s="1"/>
  <c r="K11" i="26"/>
  <c r="H60" i="26"/>
  <c r="AU59" i="26"/>
  <c r="AT59" i="26"/>
  <c r="AS59" i="26"/>
  <c r="AJ59" i="26"/>
  <c r="M59" i="26"/>
  <c r="L17" i="26"/>
  <c r="K10" i="26"/>
  <c r="K38" i="26" s="1"/>
  <c r="H59" i="26"/>
  <c r="AU58" i="26"/>
  <c r="AT58" i="26"/>
  <c r="AS58" i="26"/>
  <c r="AK58" i="26"/>
  <c r="AM58" i="26" s="1"/>
  <c r="AJ16" i="26"/>
  <c r="AJ23" i="26" s="1"/>
  <c r="AJ30" i="26"/>
  <c r="AJ37" i="26" s="1"/>
  <c r="AJ44" i="26" s="1"/>
  <c r="AJ51" i="26" s="1"/>
  <c r="AJ58" i="26" s="1"/>
  <c r="K9" i="26"/>
  <c r="K58" i="26"/>
  <c r="H58" i="26"/>
  <c r="AU57" i="26"/>
  <c r="AT57" i="26"/>
  <c r="AS57" i="26"/>
  <c r="AM57" i="26"/>
  <c r="AR32" i="26" s="1"/>
  <c r="AJ57" i="26"/>
  <c r="AI57" i="26"/>
  <c r="K8" i="26"/>
  <c r="K15" i="26" s="1"/>
  <c r="K57" i="26"/>
  <c r="H57" i="26"/>
  <c r="AU56" i="26"/>
  <c r="AT56" i="26"/>
  <c r="AS56" i="26"/>
  <c r="AJ56" i="26"/>
  <c r="K7" i="26"/>
  <c r="K14" i="26" s="1"/>
  <c r="K56" i="26"/>
  <c r="H56" i="26"/>
  <c r="AU55" i="26"/>
  <c r="AT55" i="26"/>
  <c r="AS55" i="26"/>
  <c r="AJ55" i="26"/>
  <c r="AI55" i="26"/>
  <c r="M6" i="26"/>
  <c r="M20" i="26" s="1"/>
  <c r="L6" i="26"/>
  <c r="L13" i="26" s="1"/>
  <c r="K6" i="26"/>
  <c r="K55" i="26" s="1"/>
  <c r="H55" i="26"/>
  <c r="AU54" i="26"/>
  <c r="AT54" i="26"/>
  <c r="AS54" i="26"/>
  <c r="AM54" i="26"/>
  <c r="AR49" i="26" s="1"/>
  <c r="AJ54" i="26"/>
  <c r="M54" i="26"/>
  <c r="K54" i="26"/>
  <c r="H54" i="26"/>
  <c r="AU53" i="26"/>
  <c r="AT53" i="26"/>
  <c r="AS53" i="26"/>
  <c r="AK53" i="26"/>
  <c r="AP40" i="26" s="1"/>
  <c r="AM53" i="26"/>
  <c r="AJ53" i="26"/>
  <c r="M53" i="26"/>
  <c r="H53" i="26"/>
  <c r="AU52" i="26"/>
  <c r="AT52" i="26"/>
  <c r="AS52" i="26"/>
  <c r="AM52" i="26"/>
  <c r="AJ52" i="26"/>
  <c r="M52" i="26"/>
  <c r="K52" i="26"/>
  <c r="H52" i="26"/>
  <c r="AU51" i="26"/>
  <c r="AT51" i="26"/>
  <c r="AS51" i="26"/>
  <c r="AK51" i="26"/>
  <c r="AM51" i="26"/>
  <c r="H51" i="26"/>
  <c r="AU50" i="26"/>
  <c r="AT50" i="26"/>
  <c r="AS50" i="26"/>
  <c r="AO44" i="26"/>
  <c r="AO45" i="26" s="1"/>
  <c r="AO46" i="26" s="1"/>
  <c r="AO47" i="26"/>
  <c r="AO48" i="26" s="1"/>
  <c r="AO49" i="26" s="1"/>
  <c r="AO50" i="26" s="1"/>
  <c r="AM50" i="26"/>
  <c r="AR31" i="26" s="1"/>
  <c r="AJ50" i="26"/>
  <c r="AI50" i="26"/>
  <c r="K50" i="26"/>
  <c r="H50" i="26"/>
  <c r="AU49" i="26"/>
  <c r="AT49" i="26"/>
  <c r="AS49" i="26"/>
  <c r="AJ49" i="26"/>
  <c r="K49" i="26"/>
  <c r="H49" i="26"/>
  <c r="AU48" i="26"/>
  <c r="AT48" i="26"/>
  <c r="AS48" i="26"/>
  <c r="AK47" i="26"/>
  <c r="AJ48" i="26"/>
  <c r="AI48" i="26"/>
  <c r="H48" i="26"/>
  <c r="AU47" i="26"/>
  <c r="AT47" i="26"/>
  <c r="AS47" i="26"/>
  <c r="AJ47" i="26"/>
  <c r="M47" i="26"/>
  <c r="H47" i="26"/>
  <c r="AU46" i="26"/>
  <c r="AT46" i="26"/>
  <c r="AS46" i="26"/>
  <c r="AK31" i="26"/>
  <c r="AK46" i="26"/>
  <c r="AJ46" i="26"/>
  <c r="M46" i="26"/>
  <c r="K46" i="26"/>
  <c r="H46" i="26"/>
  <c r="AU45" i="26"/>
  <c r="AT45" i="26"/>
  <c r="AS45" i="26"/>
  <c r="AK24" i="26"/>
  <c r="AK26" i="26" s="1"/>
  <c r="AM45" i="26"/>
  <c r="AJ45" i="26"/>
  <c r="M45" i="26"/>
  <c r="H45" i="26"/>
  <c r="BB44" i="26"/>
  <c r="AZ38" i="26"/>
  <c r="AZ39" i="26" s="1"/>
  <c r="AZ40" i="26"/>
  <c r="AZ41" i="26" s="1"/>
  <c r="AZ42" i="26"/>
  <c r="AZ43" i="26" s="1"/>
  <c r="AZ44" i="26" s="1"/>
  <c r="AU44" i="26"/>
  <c r="AT44" i="26"/>
  <c r="AS44" i="26"/>
  <c r="AK17" i="26"/>
  <c r="K44" i="26"/>
  <c r="H44" i="26"/>
  <c r="BB43" i="26"/>
  <c r="AU43" i="26"/>
  <c r="AT43" i="26"/>
  <c r="AS43" i="26"/>
  <c r="AK10" i="26"/>
  <c r="AK12" i="26" s="1"/>
  <c r="AM12" i="26" s="1"/>
  <c r="AR43" i="26" s="1"/>
  <c r="AP43" i="26"/>
  <c r="AM43" i="26"/>
  <c r="AR30" i="26" s="1"/>
  <c r="AJ43" i="26"/>
  <c r="AI43" i="26"/>
  <c r="K43" i="26"/>
  <c r="H43" i="26"/>
  <c r="AU42" i="26"/>
  <c r="AT42" i="26"/>
  <c r="AS42" i="26"/>
  <c r="AJ42" i="26"/>
  <c r="K42" i="26"/>
  <c r="H42" i="26"/>
  <c r="BB41" i="26"/>
  <c r="AU41" i="26"/>
  <c r="AT41" i="26"/>
  <c r="AS41" i="26"/>
  <c r="AO35" i="26"/>
  <c r="AO36" i="26" s="1"/>
  <c r="AO37" i="26" s="1"/>
  <c r="AO38" i="26" s="1"/>
  <c r="AO39" i="26" s="1"/>
  <c r="AO40" i="26" s="1"/>
  <c r="AO41" i="26" s="1"/>
  <c r="AJ41" i="26"/>
  <c r="AI41" i="26"/>
  <c r="H41" i="26"/>
  <c r="BB40" i="26"/>
  <c r="AU40" i="26"/>
  <c r="AT40" i="26"/>
  <c r="AS40" i="26"/>
  <c r="AR40" i="26"/>
  <c r="AJ40" i="26"/>
  <c r="M40" i="26"/>
  <c r="H40" i="26"/>
  <c r="BB39" i="26"/>
  <c r="AU39" i="26"/>
  <c r="AT39" i="26"/>
  <c r="AS39" i="26"/>
  <c r="AJ39" i="26"/>
  <c r="M39" i="26"/>
  <c r="H39" i="26"/>
  <c r="BB38" i="26"/>
  <c r="AU38" i="26"/>
  <c r="AT38" i="26"/>
  <c r="AS38" i="26"/>
  <c r="AM38" i="26"/>
  <c r="AJ38" i="26"/>
  <c r="M38" i="26"/>
  <c r="H38" i="26"/>
  <c r="BB37" i="26"/>
  <c r="AU37" i="26"/>
  <c r="AT37" i="26"/>
  <c r="AS37" i="26"/>
  <c r="AM37" i="26"/>
  <c r="K37" i="26"/>
  <c r="H37" i="26"/>
  <c r="AU36" i="26"/>
  <c r="AT36" i="26"/>
  <c r="AS36" i="26"/>
  <c r="AK25" i="26"/>
  <c r="AJ36" i="26"/>
  <c r="AI36" i="26"/>
  <c r="K36" i="26"/>
  <c r="H36" i="26"/>
  <c r="AU35" i="26"/>
  <c r="AT35" i="26"/>
  <c r="AS35" i="26"/>
  <c r="AJ35" i="26"/>
  <c r="K35" i="26"/>
  <c r="H35" i="26"/>
  <c r="AU34" i="26"/>
  <c r="AT34" i="26"/>
  <c r="AS34" i="26"/>
  <c r="AK11" i="26"/>
  <c r="AJ34" i="26"/>
  <c r="AI34" i="26"/>
  <c r="M34" i="26"/>
  <c r="H34" i="26"/>
  <c r="AU33" i="26"/>
  <c r="AT33" i="26"/>
  <c r="AS33" i="26"/>
  <c r="AJ33" i="26"/>
  <c r="M33" i="26"/>
  <c r="H33" i="26"/>
  <c r="AU32" i="26"/>
  <c r="AT32" i="26"/>
  <c r="AS32" i="26"/>
  <c r="AP32" i="26"/>
  <c r="AO26" i="26"/>
  <c r="AO27" i="26" s="1"/>
  <c r="AO28" i="26" s="1"/>
  <c r="AO29" i="26" s="1"/>
  <c r="AO30" i="26" s="1"/>
  <c r="AO31" i="26" s="1"/>
  <c r="AO32" i="26" s="1"/>
  <c r="AJ32" i="26"/>
  <c r="M32" i="26"/>
  <c r="K32" i="26"/>
  <c r="H32" i="26"/>
  <c r="AU31" i="26"/>
  <c r="AT31" i="26"/>
  <c r="AS31" i="26"/>
  <c r="AM31" i="26"/>
  <c r="AJ31" i="26"/>
  <c r="M31" i="26"/>
  <c r="K31" i="26"/>
  <c r="H31" i="26"/>
  <c r="AU30" i="26"/>
  <c r="AT30" i="26"/>
  <c r="AS30" i="26"/>
  <c r="AP30" i="26"/>
  <c r="AK30" i="26"/>
  <c r="AM30" i="26" s="1"/>
  <c r="H30" i="26"/>
  <c r="AU29" i="26"/>
  <c r="AT29" i="26"/>
  <c r="AS29" i="26"/>
  <c r="AP29" i="26"/>
  <c r="AM29" i="26"/>
  <c r="AJ29" i="26"/>
  <c r="AI29" i="26"/>
  <c r="H29" i="26"/>
  <c r="AU28" i="26"/>
  <c r="AT28" i="26"/>
  <c r="AS28" i="26"/>
  <c r="AR28" i="26"/>
  <c r="AP28" i="26"/>
  <c r="AJ28" i="26"/>
  <c r="K28" i="26"/>
  <c r="H28" i="26"/>
  <c r="AU27" i="26"/>
  <c r="AT27" i="26"/>
  <c r="AS27" i="26"/>
  <c r="AM22" i="26"/>
  <c r="AR27" i="26"/>
  <c r="AP27" i="26"/>
  <c r="AJ27" i="26"/>
  <c r="AI27" i="26"/>
  <c r="L27" i="26"/>
  <c r="H27" i="26"/>
  <c r="AU26" i="26"/>
  <c r="AT26" i="26"/>
  <c r="AS26" i="26"/>
  <c r="AM15" i="26"/>
  <c r="AR26" i="26" s="1"/>
  <c r="AP26" i="26"/>
  <c r="AJ26" i="26"/>
  <c r="M26" i="26"/>
  <c r="H26" i="26"/>
  <c r="AU25" i="26"/>
  <c r="AT25" i="26"/>
  <c r="AS25" i="26"/>
  <c r="AM8" i="26"/>
  <c r="AR25" i="26" s="1"/>
  <c r="AP25" i="26"/>
  <c r="AJ25" i="26"/>
  <c r="M25" i="26"/>
  <c r="H25" i="26"/>
  <c r="AU24" i="26"/>
  <c r="AT24" i="26"/>
  <c r="AS24" i="26"/>
  <c r="AM24" i="26"/>
  <c r="AJ24" i="26"/>
  <c r="M24" i="26"/>
  <c r="H24" i="26"/>
  <c r="AU23" i="26"/>
  <c r="AT23" i="26"/>
  <c r="AS23" i="26"/>
  <c r="AO17" i="26"/>
  <c r="AO18" i="26" s="1"/>
  <c r="AO19" i="26"/>
  <c r="AO20" i="26" s="1"/>
  <c r="AO21" i="26" s="1"/>
  <c r="AO22" i="26" s="1"/>
  <c r="AO23" i="26" s="1"/>
  <c r="AK23" i="26"/>
  <c r="AM23" i="26"/>
  <c r="H23" i="26"/>
  <c r="AU22" i="26"/>
  <c r="AT22" i="26"/>
  <c r="AS22" i="26"/>
  <c r="AJ22" i="26"/>
  <c r="AI22" i="26"/>
  <c r="H22" i="26"/>
  <c r="AU21" i="26"/>
  <c r="AT21" i="26"/>
  <c r="AS21" i="26"/>
  <c r="AJ21" i="26"/>
  <c r="K21" i="26"/>
  <c r="H21" i="26"/>
  <c r="AU20" i="26"/>
  <c r="AT20" i="26"/>
  <c r="AS20" i="26"/>
  <c r="AJ20" i="26"/>
  <c r="AI20" i="26"/>
  <c r="H20" i="26"/>
  <c r="AU19" i="26"/>
  <c r="AT19" i="26"/>
  <c r="AS19" i="26"/>
  <c r="AJ19" i="26"/>
  <c r="M19" i="26"/>
  <c r="H19" i="26"/>
  <c r="AU18" i="26"/>
  <c r="AT18" i="26"/>
  <c r="AS18" i="26"/>
  <c r="AJ18" i="26"/>
  <c r="M18" i="26"/>
  <c r="H18" i="26"/>
  <c r="AU17" i="26"/>
  <c r="AT17" i="26"/>
  <c r="AS17" i="26"/>
  <c r="AM17" i="26"/>
  <c r="AJ17" i="26"/>
  <c r="M17" i="26"/>
  <c r="H17" i="26"/>
  <c r="AU16" i="26"/>
  <c r="AT16" i="26"/>
  <c r="AS16" i="26"/>
  <c r="AK16" i="26"/>
  <c r="AM16" i="26" s="1"/>
  <c r="K16" i="26"/>
  <c r="H16" i="26"/>
  <c r="AU15" i="26"/>
  <c r="AT15" i="26"/>
  <c r="AS15" i="26"/>
  <c r="AJ15" i="26"/>
  <c r="AI15" i="26"/>
  <c r="H15" i="26"/>
  <c r="AU14" i="26"/>
  <c r="AT14" i="26"/>
  <c r="AS14" i="26"/>
  <c r="AO8" i="26"/>
  <c r="AO9" i="26" s="1"/>
  <c r="AO10" i="26" s="1"/>
  <c r="AO11" i="26" s="1"/>
  <c r="AO12" i="26" s="1"/>
  <c r="AO13" i="26" s="1"/>
  <c r="AO14" i="26" s="1"/>
  <c r="AJ14" i="26"/>
  <c r="H14" i="26"/>
  <c r="AU13" i="26"/>
  <c r="AT13" i="26"/>
  <c r="AS13" i="26"/>
  <c r="AJ13" i="26"/>
  <c r="AI13" i="26"/>
  <c r="H13" i="26"/>
  <c r="AU12" i="26"/>
  <c r="AT12" i="26"/>
  <c r="AS12" i="26"/>
  <c r="M12" i="26"/>
  <c r="H12" i="26"/>
  <c r="AU11" i="26"/>
  <c r="AT11" i="26"/>
  <c r="AS11" i="26"/>
  <c r="M11" i="26"/>
  <c r="H11" i="26"/>
  <c r="AU10" i="26"/>
  <c r="AT10" i="26"/>
  <c r="AS10" i="26"/>
  <c r="AM10" i="26"/>
  <c r="M10" i="26"/>
  <c r="H10" i="26"/>
  <c r="AU9" i="26"/>
  <c r="AT9" i="26"/>
  <c r="AS9" i="26"/>
  <c r="AK9" i="26"/>
  <c r="AM9" i="26" s="1"/>
  <c r="M9" i="26"/>
  <c r="L9" i="26"/>
  <c r="H9" i="26"/>
  <c r="AU8" i="26"/>
  <c r="AT8" i="26"/>
  <c r="AS8" i="26"/>
  <c r="M8" i="26"/>
  <c r="H8" i="26"/>
  <c r="AU7" i="26"/>
  <c r="AT7" i="26"/>
  <c r="AS7" i="26"/>
  <c r="AG7" i="26"/>
  <c r="M7" i="26"/>
  <c r="H7" i="26"/>
  <c r="AU6" i="26"/>
  <c r="AT6" i="26"/>
  <c r="AS6" i="26"/>
  <c r="AG6" i="26"/>
  <c r="H6" i="26"/>
  <c r="AI4" i="26"/>
  <c r="AA4" i="26"/>
  <c r="W4" i="26"/>
  <c r="O4" i="26"/>
  <c r="K4" i="26"/>
  <c r="I4" i="26"/>
  <c r="H4" i="26"/>
  <c r="G4" i="26"/>
  <c r="D4" i="26"/>
  <c r="AD3" i="26"/>
  <c r="AA3" i="26"/>
  <c r="W3" i="26"/>
  <c r="S3" i="26"/>
  <c r="O3" i="26"/>
  <c r="K3" i="26"/>
  <c r="H3" i="26"/>
  <c r="D3" i="26"/>
  <c r="AD2" i="26"/>
  <c r="AC2" i="26"/>
  <c r="W2" i="26"/>
  <c r="U2" i="26"/>
  <c r="S2" i="26"/>
  <c r="O2" i="26"/>
  <c r="K2" i="26"/>
  <c r="H2" i="26"/>
  <c r="D2" i="26"/>
  <c r="AD1" i="26"/>
  <c r="Y1" i="26"/>
  <c r="W1" i="26"/>
  <c r="S1" i="26"/>
  <c r="O1" i="26"/>
  <c r="K1" i="26"/>
  <c r="H1" i="26"/>
  <c r="D1" i="26"/>
  <c r="AK56" i="5"/>
  <c r="AK55" i="5"/>
  <c r="AK49" i="5"/>
  <c r="AK48" i="5"/>
  <c r="AK42" i="5"/>
  <c r="AK41" i="5"/>
  <c r="AK35" i="5"/>
  <c r="AK34" i="5"/>
  <c r="AK28" i="5"/>
  <c r="AK27" i="5"/>
  <c r="AK21" i="5"/>
  <c r="AK20" i="5"/>
  <c r="AK14" i="5"/>
  <c r="AK13" i="5"/>
  <c r="AK7" i="5"/>
  <c r="AK6" i="5"/>
  <c r="AE7" i="5"/>
  <c r="H41" i="8"/>
  <c r="H42" i="8"/>
  <c r="H43" i="8"/>
  <c r="H44" i="8"/>
  <c r="H45" i="8"/>
  <c r="H46" i="8"/>
  <c r="H47" i="8"/>
  <c r="AK23" i="8"/>
  <c r="AK23" i="7"/>
  <c r="AK37" i="7"/>
  <c r="AK58" i="7"/>
  <c r="AK51" i="7"/>
  <c r="AL52" i="8"/>
  <c r="AL38" i="8"/>
  <c r="AL39" i="8" s="1"/>
  <c r="AL40" i="8"/>
  <c r="AL31" i="8"/>
  <c r="AL24" i="8"/>
  <c r="AL10" i="8"/>
  <c r="AL11" i="8" s="1"/>
  <c r="AL9" i="8"/>
  <c r="AK23" i="5"/>
  <c r="AK30" i="5"/>
  <c r="AK37" i="5"/>
  <c r="AM37" i="5" s="1"/>
  <c r="AK44" i="5"/>
  <c r="AK58" i="5"/>
  <c r="AK51" i="5"/>
  <c r="AL23" i="5"/>
  <c r="M47" i="5"/>
  <c r="M46" i="5"/>
  <c r="M45" i="5"/>
  <c r="M42" i="5"/>
  <c r="M43" i="5"/>
  <c r="M44" i="5"/>
  <c r="D62" i="7"/>
  <c r="R6" i="5"/>
  <c r="R7" i="5"/>
  <c r="R8" i="5"/>
  <c r="R9" i="5" s="1"/>
  <c r="R10" i="5" s="1"/>
  <c r="R11" i="5" s="1"/>
  <c r="R12" i="5" s="1"/>
  <c r="R13" i="5" s="1"/>
  <c r="R14" i="5" s="1"/>
  <c r="R15" i="5" s="1"/>
  <c r="R16" i="5" s="1"/>
  <c r="R17" i="5" s="1"/>
  <c r="R18" i="5" s="1"/>
  <c r="R19" i="5" s="1"/>
  <c r="R20" i="5" s="1"/>
  <c r="R21" i="5" s="1"/>
  <c r="R22" i="5" s="1"/>
  <c r="R23" i="5" s="1"/>
  <c r="R24" i="5" s="1"/>
  <c r="R25" i="5" s="1"/>
  <c r="R26" i="5" s="1"/>
  <c r="R27" i="5" s="1"/>
  <c r="R28" i="5" s="1"/>
  <c r="R29" i="5" s="1"/>
  <c r="R30" i="5" s="1"/>
  <c r="R31" i="5" s="1"/>
  <c r="R32" i="5" s="1"/>
  <c r="R33" i="5" s="1"/>
  <c r="R34" i="5" s="1"/>
  <c r="R35" i="5" s="1"/>
  <c r="R36" i="5" s="1"/>
  <c r="R37" i="5" s="1"/>
  <c r="R38" i="5" s="1"/>
  <c r="R39" i="5" s="1"/>
  <c r="R40" i="5" s="1"/>
  <c r="R41" i="5" s="1"/>
  <c r="R42" i="5" s="1"/>
  <c r="R43" i="5" s="1"/>
  <c r="R44" i="5" s="1"/>
  <c r="R45" i="5" s="1"/>
  <c r="R46" i="5" s="1"/>
  <c r="R47" i="5" s="1"/>
  <c r="R48" i="5" s="1"/>
  <c r="R49" i="5" s="1"/>
  <c r="R50" i="5" s="1"/>
  <c r="R51" i="5" s="1"/>
  <c r="R52" i="5" s="1"/>
  <c r="R53" i="5" s="1"/>
  <c r="R54" i="5" s="1"/>
  <c r="R55" i="5" s="1"/>
  <c r="R56" i="5" s="1"/>
  <c r="R57" i="5" s="1"/>
  <c r="R58" i="5" s="1"/>
  <c r="R59" i="5" s="1"/>
  <c r="R60" i="5" s="1"/>
  <c r="R61" i="5" s="1"/>
  <c r="Z6" i="5"/>
  <c r="Z7" i="5" s="1"/>
  <c r="Z8" i="5"/>
  <c r="Z9" i="5" s="1"/>
  <c r="Z10" i="5" s="1"/>
  <c r="Z11" i="5" s="1"/>
  <c r="Z12" i="5" s="1"/>
  <c r="Z13" i="5" s="1"/>
  <c r="Z14" i="5" s="1"/>
  <c r="Z15" i="5" s="1"/>
  <c r="Z16" i="5" s="1"/>
  <c r="Z17" i="5" s="1"/>
  <c r="Z18" i="5" s="1"/>
  <c r="Z19" i="5" s="1"/>
  <c r="Z20" i="5" s="1"/>
  <c r="Z21" i="5" s="1"/>
  <c r="Z22" i="5" s="1"/>
  <c r="Z23" i="5" s="1"/>
  <c r="Z24" i="5" s="1"/>
  <c r="Z25" i="5" s="1"/>
  <c r="Z26" i="5" s="1"/>
  <c r="Z27" i="5" s="1"/>
  <c r="Z28" i="5" s="1"/>
  <c r="Z29" i="5" s="1"/>
  <c r="Z30" i="5" s="1"/>
  <c r="Z31" i="5" s="1"/>
  <c r="Z32" i="5" s="1"/>
  <c r="Z33" i="5" s="1"/>
  <c r="Z34" i="5" s="1"/>
  <c r="Z35" i="5" s="1"/>
  <c r="Z36" i="5" s="1"/>
  <c r="Z37" i="5" s="1"/>
  <c r="Z38" i="5" s="1"/>
  <c r="Z39" i="5" s="1"/>
  <c r="Z40" i="5" s="1"/>
  <c r="Z41" i="5" s="1"/>
  <c r="Z42" i="5" s="1"/>
  <c r="Z43" i="5" s="1"/>
  <c r="Z44" i="5" s="1"/>
  <c r="Z45" i="5" s="1"/>
  <c r="Z46" i="5" s="1"/>
  <c r="Z47" i="5" s="1"/>
  <c r="Z48" i="5" s="1"/>
  <c r="Z49" i="5" s="1"/>
  <c r="Z50" i="5" s="1"/>
  <c r="Z51" i="5" s="1"/>
  <c r="Z52" i="5" s="1"/>
  <c r="Z53" i="5" s="1"/>
  <c r="Z54" i="5" s="1"/>
  <c r="Z55" i="5" s="1"/>
  <c r="Z56" i="5" s="1"/>
  <c r="Z57" i="5" s="1"/>
  <c r="Z58" i="5" s="1"/>
  <c r="Z59" i="5" s="1"/>
  <c r="Z60" i="5" s="1"/>
  <c r="Z61" i="5" s="1"/>
  <c r="V6" i="5"/>
  <c r="V7" i="5"/>
  <c r="V8" i="5" s="1"/>
  <c r="V9" i="5" s="1"/>
  <c r="V10" i="5" s="1"/>
  <c r="V11" i="5" s="1"/>
  <c r="V12" i="5" s="1"/>
  <c r="V13" i="5" s="1"/>
  <c r="V14" i="5" s="1"/>
  <c r="V15" i="5" s="1"/>
  <c r="V16" i="5" s="1"/>
  <c r="V17" i="5" s="1"/>
  <c r="V18" i="5" s="1"/>
  <c r="V19" i="5" s="1"/>
  <c r="V20" i="5" s="1"/>
  <c r="V21" i="5" s="1"/>
  <c r="V22" i="5" s="1"/>
  <c r="V23" i="5" s="1"/>
  <c r="V24" i="5" s="1"/>
  <c r="V25" i="5" s="1"/>
  <c r="V26" i="5" s="1"/>
  <c r="V27" i="5" s="1"/>
  <c r="V28" i="5" s="1"/>
  <c r="V29" i="5" s="1"/>
  <c r="V30" i="5" s="1"/>
  <c r="V31" i="5" s="1"/>
  <c r="V32" i="5" s="1"/>
  <c r="V33" i="5" s="1"/>
  <c r="V34" i="5" s="1"/>
  <c r="V35" i="5" s="1"/>
  <c r="V36" i="5" s="1"/>
  <c r="V37" i="5" s="1"/>
  <c r="V38" i="5" s="1"/>
  <c r="V39" i="5" s="1"/>
  <c r="V40" i="5" s="1"/>
  <c r="V41" i="5" s="1"/>
  <c r="V42" i="5" s="1"/>
  <c r="V43" i="5" s="1"/>
  <c r="V44" i="5" s="1"/>
  <c r="V45" i="5" s="1"/>
  <c r="V46" i="5" s="1"/>
  <c r="V47" i="5" s="1"/>
  <c r="V48" i="5" s="1"/>
  <c r="V49" i="5" s="1"/>
  <c r="V50" i="5" s="1"/>
  <c r="V51" i="5" s="1"/>
  <c r="V52" i="5" s="1"/>
  <c r="V53" i="5" s="1"/>
  <c r="V54" i="5" s="1"/>
  <c r="V55" i="5" s="1"/>
  <c r="V56" i="5" s="1"/>
  <c r="V57" i="5" s="1"/>
  <c r="V58" i="5" s="1"/>
  <c r="V59" i="5" s="1"/>
  <c r="V60" i="5" s="1"/>
  <c r="V61" i="5" s="1"/>
  <c r="AA6" i="7"/>
  <c r="AB6" i="7"/>
  <c r="AA7" i="7"/>
  <c r="AB7" i="7"/>
  <c r="Z6" i="7"/>
  <c r="Z7" i="7" s="1"/>
  <c r="Z8" i="7" s="1"/>
  <c r="Z9" i="7" s="1"/>
  <c r="Z10" i="7" s="1"/>
  <c r="Z11" i="7" s="1"/>
  <c r="Z12" i="7" s="1"/>
  <c r="Z13" i="7" s="1"/>
  <c r="Z14" i="7" s="1"/>
  <c r="Z15" i="7" s="1"/>
  <c r="Z16" i="7" s="1"/>
  <c r="Z17" i="7" s="1"/>
  <c r="Z18" i="7" s="1"/>
  <c r="Z19" i="7" s="1"/>
  <c r="Z20" i="7" s="1"/>
  <c r="Z21" i="7" s="1"/>
  <c r="Z22" i="7" s="1"/>
  <c r="Z23" i="7" s="1"/>
  <c r="Z24" i="7" s="1"/>
  <c r="Z25" i="7" s="1"/>
  <c r="Z26" i="7" s="1"/>
  <c r="Z27" i="7" s="1"/>
  <c r="Z28" i="7" s="1"/>
  <c r="Z29" i="7" s="1"/>
  <c r="Z30" i="7" s="1"/>
  <c r="Z31" i="7" s="1"/>
  <c r="Z32" i="7" s="1"/>
  <c r="Z33" i="7" s="1"/>
  <c r="Z34" i="7" s="1"/>
  <c r="Z35" i="7" s="1"/>
  <c r="Z36" i="7" s="1"/>
  <c r="Z37" i="7" s="1"/>
  <c r="Z38" i="7" s="1"/>
  <c r="Z39" i="7" s="1"/>
  <c r="Z40" i="7" s="1"/>
  <c r="Z41" i="7" s="1"/>
  <c r="Z42" i="7" s="1"/>
  <c r="Z43" i="7" s="1"/>
  <c r="Z44" i="7" s="1"/>
  <c r="Z45" i="7" s="1"/>
  <c r="Z46" i="7" s="1"/>
  <c r="Z47" i="7" s="1"/>
  <c r="Z48" i="7" s="1"/>
  <c r="Z49" i="7" s="1"/>
  <c r="Z50" i="7" s="1"/>
  <c r="Z51" i="7" s="1"/>
  <c r="Z52" i="7" s="1"/>
  <c r="Z53" i="7" s="1"/>
  <c r="Z54" i="7" s="1"/>
  <c r="Z55" i="7" s="1"/>
  <c r="Z56" i="7" s="1"/>
  <c r="Z57" i="7" s="1"/>
  <c r="Z58" i="7" s="1"/>
  <c r="Z59" i="7" s="1"/>
  <c r="Z60" i="7" s="1"/>
  <c r="Z61" i="7" s="1"/>
  <c r="R6" i="7"/>
  <c r="R7" i="7" s="1"/>
  <c r="R8" i="7" s="1"/>
  <c r="R9" i="7" s="1"/>
  <c r="R10" i="7" s="1"/>
  <c r="R11" i="7" s="1"/>
  <c r="R12" i="7" s="1"/>
  <c r="R13" i="7" s="1"/>
  <c r="R14" i="7" s="1"/>
  <c r="R15" i="7" s="1"/>
  <c r="R16" i="7" s="1"/>
  <c r="R17" i="7" s="1"/>
  <c r="R18" i="7" s="1"/>
  <c r="R19" i="7" s="1"/>
  <c r="R20" i="7" s="1"/>
  <c r="R21" i="7" s="1"/>
  <c r="R22" i="7" s="1"/>
  <c r="R23" i="7" s="1"/>
  <c r="R24" i="7" s="1"/>
  <c r="R25" i="7" s="1"/>
  <c r="R26" i="7" s="1"/>
  <c r="R27" i="7" s="1"/>
  <c r="R28" i="7" s="1"/>
  <c r="R29" i="7" s="1"/>
  <c r="R30" i="7" s="1"/>
  <c r="R31" i="7" s="1"/>
  <c r="R32" i="7" s="1"/>
  <c r="R33" i="7" s="1"/>
  <c r="R34" i="7" s="1"/>
  <c r="R35" i="7" s="1"/>
  <c r="R36" i="7" s="1"/>
  <c r="R37" i="7" s="1"/>
  <c r="R38" i="7" s="1"/>
  <c r="R39" i="7" s="1"/>
  <c r="R40" i="7" s="1"/>
  <c r="R41" i="7" s="1"/>
  <c r="R42" i="7" s="1"/>
  <c r="R43" i="7" s="1"/>
  <c r="R44" i="7" s="1"/>
  <c r="R45" i="7" s="1"/>
  <c r="R46" i="7" s="1"/>
  <c r="R47" i="7" s="1"/>
  <c r="R48" i="7" s="1"/>
  <c r="R49" i="7" s="1"/>
  <c r="R50" i="7" s="1"/>
  <c r="R51" i="7" s="1"/>
  <c r="R52" i="7" s="1"/>
  <c r="R53" i="7" s="1"/>
  <c r="R54" i="7" s="1"/>
  <c r="R55" i="7" s="1"/>
  <c r="R56" i="7" s="1"/>
  <c r="R57" i="7" s="1"/>
  <c r="R58" i="7" s="1"/>
  <c r="R59" i="7" s="1"/>
  <c r="R60" i="7" s="1"/>
  <c r="R61" i="7" s="1"/>
  <c r="D4" i="8"/>
  <c r="G4" i="8"/>
  <c r="E4" i="7"/>
  <c r="D4" i="7"/>
  <c r="D62" i="8"/>
  <c r="AA6" i="5"/>
  <c r="AB6" i="5"/>
  <c r="AA7" i="5"/>
  <c r="AB7" i="5"/>
  <c r="AA8" i="5"/>
  <c r="AB8" i="5"/>
  <c r="AA9" i="5"/>
  <c r="AB9" i="5"/>
  <c r="AA10" i="5"/>
  <c r="AB10" i="5"/>
  <c r="AA13" i="5"/>
  <c r="W1" i="8"/>
  <c r="W2" i="7"/>
  <c r="W1" i="7"/>
  <c r="Y1" i="7"/>
  <c r="Y1" i="8"/>
  <c r="D1" i="8"/>
  <c r="AC1" i="8"/>
  <c r="I4" i="7"/>
  <c r="D1" i="7"/>
  <c r="D2" i="7"/>
  <c r="D3" i="7"/>
  <c r="K12" i="8"/>
  <c r="K11" i="8"/>
  <c r="K60" i="8" s="1"/>
  <c r="K10" i="8"/>
  <c r="K45" i="8" s="1"/>
  <c r="K9" i="8"/>
  <c r="K8" i="8"/>
  <c r="K43" i="8"/>
  <c r="K7" i="8"/>
  <c r="K35" i="8" s="1"/>
  <c r="M6" i="8"/>
  <c r="M55" i="8"/>
  <c r="L6" i="8"/>
  <c r="L48" i="8" s="1"/>
  <c r="L41" i="8"/>
  <c r="K6" i="8"/>
  <c r="K20" i="8" s="1"/>
  <c r="L57" i="7"/>
  <c r="L56" i="7"/>
  <c r="L50" i="7"/>
  <c r="L49" i="7"/>
  <c r="L43" i="7"/>
  <c r="L42" i="7"/>
  <c r="L44" i="7" s="1"/>
  <c r="L36" i="7"/>
  <c r="L35" i="7"/>
  <c r="L29" i="7"/>
  <c r="L28" i="7"/>
  <c r="L30" i="7" s="1"/>
  <c r="L22" i="7"/>
  <c r="L21" i="7"/>
  <c r="L15" i="7"/>
  <c r="L14" i="7"/>
  <c r="L8" i="7"/>
  <c r="L11" i="7" s="1"/>
  <c r="L7" i="7"/>
  <c r="L6" i="7"/>
  <c r="L48" i="7" s="1"/>
  <c r="M6" i="7"/>
  <c r="K6" i="7"/>
  <c r="K48" i="7"/>
  <c r="K7" i="7"/>
  <c r="K14" i="7" s="1"/>
  <c r="K8" i="7"/>
  <c r="K9" i="7"/>
  <c r="K16" i="7"/>
  <c r="K10" i="7"/>
  <c r="K31" i="7" s="1"/>
  <c r="K11" i="7"/>
  <c r="K18" i="7" s="1"/>
  <c r="K12" i="7"/>
  <c r="K61" i="7" s="1"/>
  <c r="K61" i="5"/>
  <c r="K60" i="5"/>
  <c r="K59" i="5"/>
  <c r="K58" i="5"/>
  <c r="L57" i="5"/>
  <c r="K57" i="5"/>
  <c r="L56" i="5"/>
  <c r="K56" i="5"/>
  <c r="M55" i="5"/>
  <c r="L55" i="5"/>
  <c r="K55" i="5"/>
  <c r="K54" i="5"/>
  <c r="K53" i="5"/>
  <c r="K52" i="5"/>
  <c r="K51" i="5"/>
  <c r="L50" i="5"/>
  <c r="K50" i="5"/>
  <c r="L49" i="5"/>
  <c r="K49" i="5"/>
  <c r="M48" i="5"/>
  <c r="L48" i="5"/>
  <c r="K48" i="5"/>
  <c r="L43" i="5"/>
  <c r="L42" i="5"/>
  <c r="K47" i="5"/>
  <c r="K46" i="5"/>
  <c r="K45" i="5"/>
  <c r="K44" i="5"/>
  <c r="K43" i="5"/>
  <c r="K42" i="5"/>
  <c r="M41" i="5"/>
  <c r="L41" i="5"/>
  <c r="K41" i="5"/>
  <c r="L36" i="5"/>
  <c r="L35" i="5"/>
  <c r="K40" i="5"/>
  <c r="K39" i="5"/>
  <c r="K38" i="5"/>
  <c r="K37" i="5"/>
  <c r="K36" i="5"/>
  <c r="K35" i="5"/>
  <c r="M34" i="5"/>
  <c r="L34" i="5"/>
  <c r="K34" i="5"/>
  <c r="L29" i="5"/>
  <c r="L30" i="5" s="1"/>
  <c r="L28" i="5"/>
  <c r="K33" i="5"/>
  <c r="K32" i="5"/>
  <c r="K31" i="5"/>
  <c r="K30" i="5"/>
  <c r="K29" i="5"/>
  <c r="K28" i="5"/>
  <c r="M27" i="5"/>
  <c r="L27" i="5"/>
  <c r="K27" i="5"/>
  <c r="L22" i="5"/>
  <c r="L21" i="5"/>
  <c r="L23" i="5" s="1"/>
  <c r="K26" i="5"/>
  <c r="K25" i="5"/>
  <c r="K24" i="5"/>
  <c r="K23" i="5"/>
  <c r="K22" i="5"/>
  <c r="K21" i="5"/>
  <c r="M20" i="5"/>
  <c r="L20" i="5"/>
  <c r="K20" i="5"/>
  <c r="L15" i="5"/>
  <c r="L14" i="5"/>
  <c r="L16" i="5" s="1"/>
  <c r="N13" i="5"/>
  <c r="M13" i="5"/>
  <c r="L13" i="5"/>
  <c r="K19" i="5"/>
  <c r="K18" i="5"/>
  <c r="K17" i="5"/>
  <c r="K16" i="5"/>
  <c r="K15" i="5"/>
  <c r="K14" i="5"/>
  <c r="K13" i="5"/>
  <c r="L8" i="5"/>
  <c r="L11" i="5" s="1"/>
  <c r="L18" i="5" s="1"/>
  <c r="L7" i="5"/>
  <c r="L10" i="5" s="1"/>
  <c r="AC3" i="8"/>
  <c r="K13" i="7"/>
  <c r="K17" i="7"/>
  <c r="L51" i="5"/>
  <c r="K27" i="7"/>
  <c r="K28" i="7"/>
  <c r="K34" i="7"/>
  <c r="K53" i="7"/>
  <c r="K55" i="7"/>
  <c r="M48" i="8"/>
  <c r="K37" i="7"/>
  <c r="K23" i="7"/>
  <c r="K44" i="7"/>
  <c r="K56" i="7"/>
  <c r="M13" i="8"/>
  <c r="N13" i="7"/>
  <c r="K24" i="7"/>
  <c r="K19" i="7"/>
  <c r="K54" i="7"/>
  <c r="M34" i="7"/>
  <c r="K39" i="8"/>
  <c r="K32" i="8"/>
  <c r="K36" i="7"/>
  <c r="K40" i="7"/>
  <c r="L13" i="8"/>
  <c r="L18" i="7"/>
  <c r="L25" i="7"/>
  <c r="L32" i="7" s="1"/>
  <c r="L39" i="7" s="1"/>
  <c r="L46" i="7" s="1"/>
  <c r="L53" i="7" s="1"/>
  <c r="L60" i="7" s="1"/>
  <c r="L27" i="7"/>
  <c r="K32" i="7"/>
  <c r="L55" i="7"/>
  <c r="K60" i="7"/>
  <c r="L13" i="7"/>
  <c r="K20" i="7"/>
  <c r="K21" i="7"/>
  <c r="K39" i="7"/>
  <c r="K41" i="7"/>
  <c r="K51" i="7"/>
  <c r="K30" i="7"/>
  <c r="K46" i="7"/>
  <c r="K49" i="7"/>
  <c r="K58" i="7"/>
  <c r="M20" i="8"/>
  <c r="K59" i="8"/>
  <c r="K23" i="8"/>
  <c r="K25" i="8"/>
  <c r="K27" i="8"/>
  <c r="K29" i="8"/>
  <c r="M41" i="8"/>
  <c r="K52" i="8"/>
  <c r="K55" i="8"/>
  <c r="K56" i="8"/>
  <c r="K57" i="8"/>
  <c r="K34" i="8"/>
  <c r="K36" i="8"/>
  <c r="N13" i="8"/>
  <c r="K16" i="8"/>
  <c r="K18" i="8"/>
  <c r="K19" i="8"/>
  <c r="K22" i="8"/>
  <c r="M34" i="8"/>
  <c r="K46" i="8"/>
  <c r="K48" i="8"/>
  <c r="K50" i="8"/>
  <c r="L55" i="8"/>
  <c r="K14" i="8"/>
  <c r="K15" i="8"/>
  <c r="L20" i="8"/>
  <c r="M27" i="8"/>
  <c r="L51" i="7"/>
  <c r="M61" i="5"/>
  <c r="AC2" i="5"/>
  <c r="M31" i="5"/>
  <c r="M25" i="5"/>
  <c r="M17" i="5"/>
  <c r="M12" i="5"/>
  <c r="M8" i="5"/>
  <c r="M40" i="5"/>
  <c r="M24" i="5"/>
  <c r="M11" i="5"/>
  <c r="M7" i="5"/>
  <c r="M39" i="5"/>
  <c r="M33" i="5"/>
  <c r="M10" i="5"/>
  <c r="M38" i="5"/>
  <c r="M32" i="5"/>
  <c r="M26" i="5"/>
  <c r="M9" i="5"/>
  <c r="M19" i="5"/>
  <c r="M18" i="5"/>
  <c r="M60" i="5"/>
  <c r="M54" i="5"/>
  <c r="M53" i="5"/>
  <c r="M59" i="5"/>
  <c r="M52" i="5"/>
  <c r="AG2" i="8"/>
  <c r="AG1" i="8"/>
  <c r="AG3" i="8"/>
  <c r="AD3" i="8"/>
  <c r="AD2" i="8"/>
  <c r="AD1" i="8"/>
  <c r="AA3" i="8"/>
  <c r="O2" i="8"/>
  <c r="O1" i="8"/>
  <c r="O2" i="7"/>
  <c r="O1" i="7"/>
  <c r="G4" i="7"/>
  <c r="AD3" i="7"/>
  <c r="AD2" i="7"/>
  <c r="AD1" i="7"/>
  <c r="AA3" i="7"/>
  <c r="AU61" i="5"/>
  <c r="AT61" i="5"/>
  <c r="AS61" i="5"/>
  <c r="AU60" i="5"/>
  <c r="AT60" i="5"/>
  <c r="AS60" i="5"/>
  <c r="AU59" i="5"/>
  <c r="AT59" i="5"/>
  <c r="AS59" i="5"/>
  <c r="AU58" i="5"/>
  <c r="AT58" i="5"/>
  <c r="AS58" i="5"/>
  <c r="AU57" i="5"/>
  <c r="AT57" i="5"/>
  <c r="AS57" i="5"/>
  <c r="AU56" i="5"/>
  <c r="AT56" i="5"/>
  <c r="AS56" i="5"/>
  <c r="AU55" i="5"/>
  <c r="AT55" i="5"/>
  <c r="AS55" i="5"/>
  <c r="AU54" i="5"/>
  <c r="AT54" i="5"/>
  <c r="AS54" i="5"/>
  <c r="AU53" i="5"/>
  <c r="AT53" i="5"/>
  <c r="AS53" i="5"/>
  <c r="AU52" i="5"/>
  <c r="AT52" i="5"/>
  <c r="AS52" i="5"/>
  <c r="AU51" i="5"/>
  <c r="AT51" i="5"/>
  <c r="AS51" i="5"/>
  <c r="AU50" i="5"/>
  <c r="AT50" i="5"/>
  <c r="AS50" i="5"/>
  <c r="AU49" i="5"/>
  <c r="AT49" i="5"/>
  <c r="AS49" i="5"/>
  <c r="AU48" i="5"/>
  <c r="AT48" i="5"/>
  <c r="AS48" i="5"/>
  <c r="AU47" i="5"/>
  <c r="AT47" i="5"/>
  <c r="AS47" i="5"/>
  <c r="AU46" i="5"/>
  <c r="AT46" i="5"/>
  <c r="AS46" i="5"/>
  <c r="AU45" i="5"/>
  <c r="AT45" i="5"/>
  <c r="AS45" i="5"/>
  <c r="AU44" i="5"/>
  <c r="AT44" i="5"/>
  <c r="AS44" i="5"/>
  <c r="AU43" i="5"/>
  <c r="AT43" i="5"/>
  <c r="AS43" i="5"/>
  <c r="AU42" i="5"/>
  <c r="AT42" i="5"/>
  <c r="AS42" i="5"/>
  <c r="AU41" i="5"/>
  <c r="AT41" i="5"/>
  <c r="AS41" i="5"/>
  <c r="AU40" i="5"/>
  <c r="AT40" i="5"/>
  <c r="AS40" i="5"/>
  <c r="AU39" i="5"/>
  <c r="AT39" i="5"/>
  <c r="AS39" i="5"/>
  <c r="AU38" i="5"/>
  <c r="AT38" i="5"/>
  <c r="AS38" i="5"/>
  <c r="AU37" i="5"/>
  <c r="AT37" i="5"/>
  <c r="AS37" i="5"/>
  <c r="AU36" i="5"/>
  <c r="AT36" i="5"/>
  <c r="AS36" i="5"/>
  <c r="AU35" i="5"/>
  <c r="AT35" i="5"/>
  <c r="AS35" i="5"/>
  <c r="AU34" i="5"/>
  <c r="AT34" i="5"/>
  <c r="AS34" i="5"/>
  <c r="AU33" i="5"/>
  <c r="AT33" i="5"/>
  <c r="AS33" i="5"/>
  <c r="AU32" i="5"/>
  <c r="AT32" i="5"/>
  <c r="AS32" i="5"/>
  <c r="AU31" i="5"/>
  <c r="AT31" i="5"/>
  <c r="AS31" i="5"/>
  <c r="AU30" i="5"/>
  <c r="AT30" i="5"/>
  <c r="AS30" i="5"/>
  <c r="AU29" i="5"/>
  <c r="AT29" i="5"/>
  <c r="AS29" i="5"/>
  <c r="AU28" i="5"/>
  <c r="AT28" i="5"/>
  <c r="AS28" i="5"/>
  <c r="AU26" i="5"/>
  <c r="AT26" i="5"/>
  <c r="AS26" i="5"/>
  <c r="AU25" i="5"/>
  <c r="AT25" i="5"/>
  <c r="AS25" i="5"/>
  <c r="AU24" i="5"/>
  <c r="AT24" i="5"/>
  <c r="AS24" i="5"/>
  <c r="AU23" i="5"/>
  <c r="AT23" i="5"/>
  <c r="AS23" i="5"/>
  <c r="AU22" i="5"/>
  <c r="AT22" i="5"/>
  <c r="AS22" i="5"/>
  <c r="AU21" i="5"/>
  <c r="AT21" i="5"/>
  <c r="AS21" i="5"/>
  <c r="AU20" i="5"/>
  <c r="AT20" i="5"/>
  <c r="AS20" i="5"/>
  <c r="AU19" i="5"/>
  <c r="AT19" i="5"/>
  <c r="AS19" i="5"/>
  <c r="AU18" i="5"/>
  <c r="AT18" i="5"/>
  <c r="AS18" i="5"/>
  <c r="AU17" i="5"/>
  <c r="AT17" i="5"/>
  <c r="AS17" i="5"/>
  <c r="AU16" i="5"/>
  <c r="AT16" i="5"/>
  <c r="AS16" i="5"/>
  <c r="AU15" i="5"/>
  <c r="AT15" i="5"/>
  <c r="AS15" i="5"/>
  <c r="AU14" i="5"/>
  <c r="AT14" i="5"/>
  <c r="AS14" i="5"/>
  <c r="AU13" i="5"/>
  <c r="AT13" i="5"/>
  <c r="AS13" i="5"/>
  <c r="AU12" i="5"/>
  <c r="AT12" i="5"/>
  <c r="AS12" i="5"/>
  <c r="AU11" i="5"/>
  <c r="AT11" i="5"/>
  <c r="AS11" i="5"/>
  <c r="AU10" i="5"/>
  <c r="AT10" i="5"/>
  <c r="AS10" i="5"/>
  <c r="AU9" i="5"/>
  <c r="AT9" i="5"/>
  <c r="AS9" i="5"/>
  <c r="AU8" i="5"/>
  <c r="AT8" i="5"/>
  <c r="AS8" i="5"/>
  <c r="AU7" i="5"/>
  <c r="AT7" i="5"/>
  <c r="AS7" i="5"/>
  <c r="AU6" i="5"/>
  <c r="AT6" i="5"/>
  <c r="AS6" i="5"/>
  <c r="AU61" i="7"/>
  <c r="AT61" i="7"/>
  <c r="AS61" i="7"/>
  <c r="AU60" i="7"/>
  <c r="AT60" i="7"/>
  <c r="AS60" i="7"/>
  <c r="AU59" i="7"/>
  <c r="AT59" i="7"/>
  <c r="AS59" i="7"/>
  <c r="AU58" i="7"/>
  <c r="AT58" i="7"/>
  <c r="AS58" i="7"/>
  <c r="AU57" i="7"/>
  <c r="AT57" i="7"/>
  <c r="AS57" i="7"/>
  <c r="AU56" i="7"/>
  <c r="AT56" i="7"/>
  <c r="AS56" i="7"/>
  <c r="AU55" i="7"/>
  <c r="AT55" i="7"/>
  <c r="AS55" i="7"/>
  <c r="AU54" i="7"/>
  <c r="AT54" i="7"/>
  <c r="AS54" i="7"/>
  <c r="AU53" i="7"/>
  <c r="AT53" i="7"/>
  <c r="AS53" i="7"/>
  <c r="AU52" i="7"/>
  <c r="AT52" i="7"/>
  <c r="AS52" i="7"/>
  <c r="AU51" i="7"/>
  <c r="AT51" i="7"/>
  <c r="AS51" i="7"/>
  <c r="AU50" i="7"/>
  <c r="AT50" i="7"/>
  <c r="AS50" i="7"/>
  <c r="AU49" i="7"/>
  <c r="AT49" i="7"/>
  <c r="AS49" i="7"/>
  <c r="AU48" i="7"/>
  <c r="AT48" i="7"/>
  <c r="AS48" i="7"/>
  <c r="AU47" i="7"/>
  <c r="AT47" i="7"/>
  <c r="AS47" i="7"/>
  <c r="AU46" i="7"/>
  <c r="AT46" i="7"/>
  <c r="AS46" i="7"/>
  <c r="AU45" i="7"/>
  <c r="AT45" i="7"/>
  <c r="AS45" i="7"/>
  <c r="AU44" i="7"/>
  <c r="AT44" i="7"/>
  <c r="AS44" i="7"/>
  <c r="AU43" i="7"/>
  <c r="AT43" i="7"/>
  <c r="AS43" i="7"/>
  <c r="AU42" i="7"/>
  <c r="AT42" i="7"/>
  <c r="AS42" i="7"/>
  <c r="AU41" i="7"/>
  <c r="AT41" i="7"/>
  <c r="AS41" i="7"/>
  <c r="AU40" i="7"/>
  <c r="AT40" i="7"/>
  <c r="AS40" i="7"/>
  <c r="AU39" i="7"/>
  <c r="AT39" i="7"/>
  <c r="AS39" i="7"/>
  <c r="AU38" i="7"/>
  <c r="AT38" i="7"/>
  <c r="AS38" i="7"/>
  <c r="AU37" i="7"/>
  <c r="AT37" i="7"/>
  <c r="AS37" i="7"/>
  <c r="AU36" i="7"/>
  <c r="AT36" i="7"/>
  <c r="AS36" i="7"/>
  <c r="AU35" i="7"/>
  <c r="AT35" i="7"/>
  <c r="AS35" i="7"/>
  <c r="AU34" i="7"/>
  <c r="AT34" i="7"/>
  <c r="AS34" i="7"/>
  <c r="AU33" i="7"/>
  <c r="AT33" i="7"/>
  <c r="AS33" i="7"/>
  <c r="AU32" i="7"/>
  <c r="AT32" i="7"/>
  <c r="AS32" i="7"/>
  <c r="AU31" i="7"/>
  <c r="AT31" i="7"/>
  <c r="AS31" i="7"/>
  <c r="AU30" i="7"/>
  <c r="AT30" i="7"/>
  <c r="AS30" i="7"/>
  <c r="AU29" i="7"/>
  <c r="AT29" i="7"/>
  <c r="AS29" i="7"/>
  <c r="AU28" i="7"/>
  <c r="AT28" i="7"/>
  <c r="AS28" i="7"/>
  <c r="AU27" i="7"/>
  <c r="AT27" i="7"/>
  <c r="AS27" i="7"/>
  <c r="AU26" i="7"/>
  <c r="AT26" i="7"/>
  <c r="AS26" i="7"/>
  <c r="AU25" i="7"/>
  <c r="AT25" i="7"/>
  <c r="AS25" i="7"/>
  <c r="AU24" i="7"/>
  <c r="AT24" i="7"/>
  <c r="AS24" i="7"/>
  <c r="AU23" i="7"/>
  <c r="AT23" i="7"/>
  <c r="AS23" i="7"/>
  <c r="AU22" i="7"/>
  <c r="AT22" i="7"/>
  <c r="AS22" i="7"/>
  <c r="AU21" i="7"/>
  <c r="AT21" i="7"/>
  <c r="AS21" i="7"/>
  <c r="AU20" i="7"/>
  <c r="AT20" i="7"/>
  <c r="AS20" i="7"/>
  <c r="AU19" i="7"/>
  <c r="AT19" i="7"/>
  <c r="AS19" i="7"/>
  <c r="AU18" i="7"/>
  <c r="AT18" i="7"/>
  <c r="AS18" i="7"/>
  <c r="AU17" i="7"/>
  <c r="AT17" i="7"/>
  <c r="AS17" i="7"/>
  <c r="AU16" i="7"/>
  <c r="AT16" i="7"/>
  <c r="AS16" i="7"/>
  <c r="AU15" i="7"/>
  <c r="AT15" i="7"/>
  <c r="AS15" i="7"/>
  <c r="AU14" i="7"/>
  <c r="AT14" i="7"/>
  <c r="AS14" i="7"/>
  <c r="AU13" i="7"/>
  <c r="AT13" i="7"/>
  <c r="AS13" i="7"/>
  <c r="AU12" i="7"/>
  <c r="AT12" i="7"/>
  <c r="AS12" i="7"/>
  <c r="AU11" i="7"/>
  <c r="AT11" i="7"/>
  <c r="AS11" i="7"/>
  <c r="AU10" i="7"/>
  <c r="AT10" i="7"/>
  <c r="AS10" i="7"/>
  <c r="AU9" i="7"/>
  <c r="AT9" i="7"/>
  <c r="AS9" i="7"/>
  <c r="AU8" i="7"/>
  <c r="AT8" i="7"/>
  <c r="AS8" i="7"/>
  <c r="AU7" i="7"/>
  <c r="AT7" i="7"/>
  <c r="AS7" i="7"/>
  <c r="AU6" i="7"/>
  <c r="AT6" i="7"/>
  <c r="AS6" i="7"/>
  <c r="Y2" i="8"/>
  <c r="Y2" i="7"/>
  <c r="H1" i="7"/>
  <c r="H2" i="7"/>
  <c r="H3" i="7"/>
  <c r="H1" i="8"/>
  <c r="H2" i="8"/>
  <c r="H3" i="8"/>
  <c r="D2" i="8"/>
  <c r="D3" i="8"/>
  <c r="A4" i="11"/>
  <c r="F6" i="10"/>
  <c r="F5" i="10"/>
  <c r="E6" i="10"/>
  <c r="E5" i="10"/>
  <c r="A2" i="10"/>
  <c r="H11" i="5"/>
  <c r="H8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2" i="7"/>
  <c r="H12" i="5"/>
  <c r="H11" i="7"/>
  <c r="H10" i="7"/>
  <c r="H10" i="5"/>
  <c r="H9" i="7"/>
  <c r="H9" i="5"/>
  <c r="H8" i="5"/>
  <c r="H7" i="7"/>
  <c r="H7" i="5"/>
  <c r="H6" i="7"/>
  <c r="H13" i="7"/>
  <c r="H14" i="7"/>
  <c r="H15" i="7"/>
  <c r="H16" i="7"/>
  <c r="H17" i="7"/>
  <c r="H18" i="7"/>
  <c r="H19" i="7"/>
  <c r="H6" i="5"/>
  <c r="H13" i="5"/>
  <c r="H14" i="5"/>
  <c r="H15" i="5"/>
  <c r="H16" i="5"/>
  <c r="H17" i="5"/>
  <c r="H18" i="5"/>
  <c r="H19" i="5"/>
  <c r="H27" i="8"/>
  <c r="H26" i="8"/>
  <c r="H25" i="8"/>
  <c r="H19" i="8"/>
  <c r="C7" i="7"/>
  <c r="C8" i="7" s="1"/>
  <c r="C9" i="7" s="1"/>
  <c r="C10" i="7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C38" i="7" s="1"/>
  <c r="C39" i="7" s="1"/>
  <c r="C40" i="7" s="1"/>
  <c r="C41" i="7" s="1"/>
  <c r="C42" i="7" s="1"/>
  <c r="C43" i="7" s="1"/>
  <c r="C44" i="7" s="1"/>
  <c r="C45" i="7" s="1"/>
  <c r="C46" i="7" s="1"/>
  <c r="C47" i="7" s="1"/>
  <c r="C48" i="7" s="1"/>
  <c r="C49" i="7" s="1"/>
  <c r="C50" i="7" s="1"/>
  <c r="C51" i="7" s="1"/>
  <c r="C52" i="7" s="1"/>
  <c r="C53" i="7" s="1"/>
  <c r="C54" i="7" s="1"/>
  <c r="C55" i="7" s="1"/>
  <c r="C56" i="7" s="1"/>
  <c r="C57" i="7" s="1"/>
  <c r="C58" i="7" s="1"/>
  <c r="C59" i="7" s="1"/>
  <c r="C60" i="7" s="1"/>
  <c r="C61" i="7" s="1"/>
  <c r="C7" i="8"/>
  <c r="C8" i="8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C52" i="8" s="1"/>
  <c r="C53" i="8" s="1"/>
  <c r="C54" i="8" s="1"/>
  <c r="C55" i="8" s="1"/>
  <c r="C56" i="8" s="1"/>
  <c r="C57" i="8" s="1"/>
  <c r="C58" i="8" s="1"/>
  <c r="C59" i="8" s="1"/>
  <c r="C60" i="8" s="1"/>
  <c r="C61" i="8" s="1"/>
  <c r="C7" i="5"/>
  <c r="C8" i="5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H7" i="8"/>
  <c r="H9" i="8"/>
  <c r="H10" i="8"/>
  <c r="H11" i="8"/>
  <c r="H12" i="8"/>
  <c r="H13" i="8"/>
  <c r="H14" i="8"/>
  <c r="H15" i="8"/>
  <c r="H16" i="8"/>
  <c r="H17" i="8"/>
  <c r="H18" i="8"/>
  <c r="H20" i="8"/>
  <c r="H21" i="8"/>
  <c r="H22" i="8"/>
  <c r="H23" i="8"/>
  <c r="H24" i="8"/>
  <c r="H28" i="8"/>
  <c r="H29" i="8"/>
  <c r="H30" i="8"/>
  <c r="H31" i="8"/>
  <c r="H32" i="8"/>
  <c r="H33" i="8"/>
  <c r="H34" i="8"/>
  <c r="H35" i="8"/>
  <c r="H37" i="8"/>
  <c r="H38" i="8"/>
  <c r="H39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36" i="8"/>
  <c r="L29" i="8"/>
  <c r="L42" i="8"/>
  <c r="L57" i="8"/>
  <c r="L21" i="8"/>
  <c r="L14" i="8"/>
  <c r="L35" i="8"/>
  <c r="L36" i="8"/>
  <c r="L28" i="8"/>
  <c r="L56" i="8"/>
  <c r="L58" i="8"/>
  <c r="L50" i="8"/>
  <c r="L49" i="8"/>
  <c r="L43" i="8"/>
  <c r="L22" i="8"/>
  <c r="L23" i="8" s="1"/>
  <c r="L15" i="8"/>
  <c r="J13" i="11"/>
  <c r="E33" i="10"/>
  <c r="J31" i="11"/>
  <c r="I17" i="11"/>
  <c r="I13" i="11"/>
  <c r="I31" i="11"/>
  <c r="I30" i="11"/>
  <c r="I6" i="11"/>
  <c r="I24" i="11"/>
  <c r="I29" i="11"/>
  <c r="H40" i="8"/>
  <c r="C62" i="5"/>
  <c r="E23" i="10"/>
  <c r="E30" i="10" s="1"/>
  <c r="F25" i="10"/>
  <c r="H6" i="8"/>
  <c r="H62" i="7"/>
  <c r="L18" i="8"/>
  <c r="L25" i="8" s="1"/>
  <c r="L32" i="8" s="1"/>
  <c r="L39" i="8" s="1"/>
  <c r="L30" i="8"/>
  <c r="G13" i="11"/>
  <c r="E25" i="10"/>
  <c r="H62" i="8"/>
  <c r="J34" i="11"/>
  <c r="M34" i="11"/>
  <c r="K3" i="7"/>
  <c r="K2" i="7"/>
  <c r="K1" i="7"/>
  <c r="S2" i="7"/>
  <c r="K4" i="7"/>
  <c r="S1" i="7"/>
  <c r="AI4" i="7"/>
  <c r="AA4" i="7"/>
  <c r="S4" i="7"/>
  <c r="O4" i="7"/>
  <c r="W3" i="7"/>
  <c r="S3" i="7"/>
  <c r="O3" i="7"/>
  <c r="I4" i="8"/>
  <c r="K3" i="8"/>
  <c r="K2" i="8"/>
  <c r="K1" i="8"/>
  <c r="S2" i="8"/>
  <c r="W2" i="8"/>
  <c r="S1" i="8"/>
  <c r="K4" i="8"/>
  <c r="AI4" i="8"/>
  <c r="AA4" i="8"/>
  <c r="W3" i="8"/>
  <c r="S3" i="8"/>
  <c r="O3" i="8"/>
  <c r="W4" i="8"/>
  <c r="S4" i="8"/>
  <c r="O4" i="8"/>
  <c r="AC2" i="7"/>
  <c r="M31" i="7"/>
  <c r="M7" i="7"/>
  <c r="M32" i="7"/>
  <c r="M40" i="7"/>
  <c r="M9" i="7"/>
  <c r="M25" i="7"/>
  <c r="AS27" i="5"/>
  <c r="AU27" i="5"/>
  <c r="AT27" i="5"/>
  <c r="E8" i="10"/>
  <c r="AG6" i="5"/>
  <c r="E7" i="10"/>
  <c r="D7" i="10"/>
  <c r="I27" i="11"/>
  <c r="I28" i="11"/>
  <c r="J28" i="11"/>
  <c r="I15" i="11"/>
  <c r="I10" i="11"/>
  <c r="I12" i="11"/>
  <c r="I14" i="11"/>
  <c r="J14" i="11"/>
  <c r="I23" i="11"/>
  <c r="I18" i="11"/>
  <c r="I19" i="11"/>
  <c r="I20" i="11"/>
  <c r="I25" i="11"/>
  <c r="I21" i="11"/>
  <c r="I22" i="11"/>
  <c r="I26" i="11"/>
  <c r="I9" i="11"/>
  <c r="AB8" i="7"/>
  <c r="AB61" i="7"/>
  <c r="AA61" i="7"/>
  <c r="AB60" i="7"/>
  <c r="AA60" i="7"/>
  <c r="AB59" i="7"/>
  <c r="AA59" i="7"/>
  <c r="AB58" i="7"/>
  <c r="AA58" i="7"/>
  <c r="AB57" i="7"/>
  <c r="AA57" i="7"/>
  <c r="AB56" i="7"/>
  <c r="AA56" i="7"/>
  <c r="AB55" i="7"/>
  <c r="AA55" i="7"/>
  <c r="AB54" i="7"/>
  <c r="AA54" i="7"/>
  <c r="AB53" i="7"/>
  <c r="AA53" i="7"/>
  <c r="AB52" i="7"/>
  <c r="AA52" i="7"/>
  <c r="AB51" i="7"/>
  <c r="AA51" i="7"/>
  <c r="AB50" i="7"/>
  <c r="AA50" i="7"/>
  <c r="AB49" i="7"/>
  <c r="AA49" i="7"/>
  <c r="AB48" i="7"/>
  <c r="AA48" i="7"/>
  <c r="AB47" i="7"/>
  <c r="AA47" i="7"/>
  <c r="AB46" i="7"/>
  <c r="AA46" i="7"/>
  <c r="AB45" i="7"/>
  <c r="AA45" i="7"/>
  <c r="AB44" i="7"/>
  <c r="AA44" i="7"/>
  <c r="AB43" i="7"/>
  <c r="AA43" i="7"/>
  <c r="AB42" i="7"/>
  <c r="AA42" i="7"/>
  <c r="AB41" i="7"/>
  <c r="AA41" i="7"/>
  <c r="AB40" i="7"/>
  <c r="AA40" i="7"/>
  <c r="AB39" i="7"/>
  <c r="AA39" i="7"/>
  <c r="AB38" i="7"/>
  <c r="AA38" i="7"/>
  <c r="AB37" i="7"/>
  <c r="AA37" i="7"/>
  <c r="AB36" i="7"/>
  <c r="AA36" i="7"/>
  <c r="AB35" i="7"/>
  <c r="AA35" i="7"/>
  <c r="AB34" i="7"/>
  <c r="AA34" i="7"/>
  <c r="AB33" i="7"/>
  <c r="AA33" i="7"/>
  <c r="AB32" i="7"/>
  <c r="AA32" i="7"/>
  <c r="AB31" i="7"/>
  <c r="AA31" i="7"/>
  <c r="AB30" i="7"/>
  <c r="AA30" i="7"/>
  <c r="AB29" i="7"/>
  <c r="AA29" i="7"/>
  <c r="AB28" i="7"/>
  <c r="AA28" i="7"/>
  <c r="AB27" i="7"/>
  <c r="AA27" i="7"/>
  <c r="AB26" i="7"/>
  <c r="AA26" i="7"/>
  <c r="AB25" i="7"/>
  <c r="AA25" i="7"/>
  <c r="AB24" i="7"/>
  <c r="AA24" i="7"/>
  <c r="AB23" i="7"/>
  <c r="AA23" i="7"/>
  <c r="AB22" i="7"/>
  <c r="AA22" i="7"/>
  <c r="AB21" i="7"/>
  <c r="AA21" i="7"/>
  <c r="AB20" i="7"/>
  <c r="AA20" i="7"/>
  <c r="AB19" i="7"/>
  <c r="AA19" i="7"/>
  <c r="AB18" i="7"/>
  <c r="AA18" i="7"/>
  <c r="AB17" i="7"/>
  <c r="AA17" i="7"/>
  <c r="AB16" i="7"/>
  <c r="AA16" i="7"/>
  <c r="AB15" i="7"/>
  <c r="AA15" i="7"/>
  <c r="AB14" i="7"/>
  <c r="AA14" i="7"/>
  <c r="AB13" i="7"/>
  <c r="AA13" i="7"/>
  <c r="AB12" i="7"/>
  <c r="AA12" i="7"/>
  <c r="AB11" i="7"/>
  <c r="AA11" i="7"/>
  <c r="AB10" i="7"/>
  <c r="AA10" i="7"/>
  <c r="AB9" i="7"/>
  <c r="AA9" i="7"/>
  <c r="AA8" i="7"/>
  <c r="AB61" i="5"/>
  <c r="AA61" i="5"/>
  <c r="AB60" i="5"/>
  <c r="AA60" i="5"/>
  <c r="AB59" i="5"/>
  <c r="AA59" i="5"/>
  <c r="AB58" i="5"/>
  <c r="AA58" i="5"/>
  <c r="AB57" i="5"/>
  <c r="AA57" i="5"/>
  <c r="AB56" i="5"/>
  <c r="AA56" i="5"/>
  <c r="AB55" i="5"/>
  <c r="AA55" i="5"/>
  <c r="AB54" i="5"/>
  <c r="AA54" i="5"/>
  <c r="AB53" i="5"/>
  <c r="AA53" i="5"/>
  <c r="AB52" i="5"/>
  <c r="AA52" i="5"/>
  <c r="AB51" i="5"/>
  <c r="AA51" i="5"/>
  <c r="AB50" i="5"/>
  <c r="AA50" i="5"/>
  <c r="AB49" i="5"/>
  <c r="AA49" i="5"/>
  <c r="AB48" i="5"/>
  <c r="AA48" i="5"/>
  <c r="AB47" i="5"/>
  <c r="AA47" i="5"/>
  <c r="AB46" i="5"/>
  <c r="AA46" i="5"/>
  <c r="AB45" i="5"/>
  <c r="AA45" i="5"/>
  <c r="AB44" i="5"/>
  <c r="AA44" i="5"/>
  <c r="AB43" i="5"/>
  <c r="AA43" i="5"/>
  <c r="AB42" i="5"/>
  <c r="AA42" i="5"/>
  <c r="AB41" i="5"/>
  <c r="AA41" i="5"/>
  <c r="AB40" i="5"/>
  <c r="AA40" i="5"/>
  <c r="AB39" i="5"/>
  <c r="AA39" i="5"/>
  <c r="AB38" i="5"/>
  <c r="AA38" i="5"/>
  <c r="AB37" i="5"/>
  <c r="AA37" i="5"/>
  <c r="AB36" i="5"/>
  <c r="AA36" i="5"/>
  <c r="AB35" i="5"/>
  <c r="AA35" i="5"/>
  <c r="AB34" i="5"/>
  <c r="AA34" i="5"/>
  <c r="AB33" i="5"/>
  <c r="AA33" i="5"/>
  <c r="AB32" i="5"/>
  <c r="AA32" i="5"/>
  <c r="AB31" i="5"/>
  <c r="AA31" i="5"/>
  <c r="AB30" i="5"/>
  <c r="AA30" i="5"/>
  <c r="AB29" i="5"/>
  <c r="AA29" i="5"/>
  <c r="AB28" i="5"/>
  <c r="AA28" i="5"/>
  <c r="AB27" i="5"/>
  <c r="AA27" i="5"/>
  <c r="AB26" i="5"/>
  <c r="AA26" i="5"/>
  <c r="AB25" i="5"/>
  <c r="AA25" i="5"/>
  <c r="AB24" i="5"/>
  <c r="AA24" i="5"/>
  <c r="AB23" i="5"/>
  <c r="AA23" i="5"/>
  <c r="AB22" i="5"/>
  <c r="AA22" i="5"/>
  <c r="AB21" i="5"/>
  <c r="AA21" i="5"/>
  <c r="AB20" i="5"/>
  <c r="AA20" i="5"/>
  <c r="AB19" i="5"/>
  <c r="AA19" i="5"/>
  <c r="AB18" i="5"/>
  <c r="AA18" i="5"/>
  <c r="AB17" i="5"/>
  <c r="AA17" i="5"/>
  <c r="AB16" i="5"/>
  <c r="AA16" i="5"/>
  <c r="AB15" i="5"/>
  <c r="AA15" i="5"/>
  <c r="AB14" i="5"/>
  <c r="AA14" i="5"/>
  <c r="AB13" i="5"/>
  <c r="AB12" i="5"/>
  <c r="AA12" i="5"/>
  <c r="AB11" i="5"/>
  <c r="AA11" i="5"/>
  <c r="D2" i="10"/>
  <c r="I7" i="11"/>
  <c r="AZ38" i="5"/>
  <c r="AZ39" i="5" s="1"/>
  <c r="AZ40" i="5" s="1"/>
  <c r="AZ41" i="5" s="1"/>
  <c r="AZ42" i="5" s="1"/>
  <c r="AZ43" i="5" s="1"/>
  <c r="AZ44" i="5" s="1"/>
  <c r="AZ38" i="7"/>
  <c r="AZ39" i="7" s="1"/>
  <c r="AZ40" i="7" s="1"/>
  <c r="AZ41" i="7" s="1"/>
  <c r="AZ42" i="7" s="1"/>
  <c r="AZ43" i="7" s="1"/>
  <c r="AZ44" i="7" s="1"/>
  <c r="AO54" i="8"/>
  <c r="AO55" i="8"/>
  <c r="AO56" i="8" s="1"/>
  <c r="AO57" i="8" s="1"/>
  <c r="AO58" i="8" s="1"/>
  <c r="AO59" i="8" s="1"/>
  <c r="AO60" i="8" s="1"/>
  <c r="AI58" i="5"/>
  <c r="AI57" i="5"/>
  <c r="AI55" i="5"/>
  <c r="AI50" i="5"/>
  <c r="AI48" i="5"/>
  <c r="AI43" i="5"/>
  <c r="AI41" i="5"/>
  <c r="AI36" i="5"/>
  <c r="AI34" i="5"/>
  <c r="AI29" i="5"/>
  <c r="AI27" i="5"/>
  <c r="AI22" i="5"/>
  <c r="AI20" i="5"/>
  <c r="AI57" i="7"/>
  <c r="AI55" i="7"/>
  <c r="AI50" i="7"/>
  <c r="AI48" i="7"/>
  <c r="AI43" i="7"/>
  <c r="AI41" i="7"/>
  <c r="AI36" i="7"/>
  <c r="AI34" i="7"/>
  <c r="AI29" i="7"/>
  <c r="AI27" i="7"/>
  <c r="AI22" i="7"/>
  <c r="AI20" i="7"/>
  <c r="AI57" i="8"/>
  <c r="AI55" i="8"/>
  <c r="AI50" i="8"/>
  <c r="AI48" i="8"/>
  <c r="AI43" i="8"/>
  <c r="AI41" i="8"/>
  <c r="AI36" i="8"/>
  <c r="AI34" i="8"/>
  <c r="AI29" i="8"/>
  <c r="AI27" i="8"/>
  <c r="AI22" i="8"/>
  <c r="AI20" i="8"/>
  <c r="AI15" i="5"/>
  <c r="AI15" i="7"/>
  <c r="AI15" i="8"/>
  <c r="AI13" i="5"/>
  <c r="AI13" i="7"/>
  <c r="AI13" i="8"/>
  <c r="J7" i="11"/>
  <c r="H4" i="7"/>
  <c r="H4" i="8"/>
  <c r="AJ61" i="8"/>
  <c r="AJ60" i="8"/>
  <c r="AJ59" i="8"/>
  <c r="AJ57" i="8"/>
  <c r="AJ56" i="8"/>
  <c r="AJ55" i="8"/>
  <c r="AJ54" i="8"/>
  <c r="AJ53" i="8"/>
  <c r="AJ52" i="8"/>
  <c r="AJ50" i="8"/>
  <c r="AJ49" i="8"/>
  <c r="AJ48" i="8"/>
  <c r="AJ47" i="8"/>
  <c r="AJ46" i="8"/>
  <c r="AJ45" i="8"/>
  <c r="AO45" i="8"/>
  <c r="AO46" i="8" s="1"/>
  <c r="AO47" i="8" s="1"/>
  <c r="AO48" i="8" s="1"/>
  <c r="AO49" i="8" s="1"/>
  <c r="AO50" i="8" s="1"/>
  <c r="AO51" i="8" s="1"/>
  <c r="AJ43" i="8"/>
  <c r="AJ42" i="8"/>
  <c r="AJ41" i="8"/>
  <c r="AJ40" i="8"/>
  <c r="AJ39" i="8"/>
  <c r="AJ38" i="8"/>
  <c r="AJ36" i="8"/>
  <c r="AO36" i="8"/>
  <c r="AO37" i="8" s="1"/>
  <c r="AO38" i="8" s="1"/>
  <c r="AO39" i="8" s="1"/>
  <c r="AO40" i="8" s="1"/>
  <c r="AO41" i="8" s="1"/>
  <c r="AO42" i="8" s="1"/>
  <c r="AJ35" i="8"/>
  <c r="AJ34" i="8"/>
  <c r="AJ33" i="8"/>
  <c r="AJ32" i="8"/>
  <c r="AJ31" i="8"/>
  <c r="AJ29" i="8"/>
  <c r="AJ28" i="8"/>
  <c r="AJ27" i="8"/>
  <c r="AO27" i="8"/>
  <c r="AO28" i="8" s="1"/>
  <c r="AO29" i="8" s="1"/>
  <c r="AO30" i="8" s="1"/>
  <c r="AO31" i="8" s="1"/>
  <c r="AO32" i="8" s="1"/>
  <c r="AO33" i="8" s="1"/>
  <c r="AJ26" i="8"/>
  <c r="AJ25" i="8"/>
  <c r="AJ24" i="8"/>
  <c r="AJ22" i="8"/>
  <c r="AJ21" i="8"/>
  <c r="AJ20" i="8"/>
  <c r="AJ19" i="8"/>
  <c r="AJ18" i="8"/>
  <c r="AO18" i="8"/>
  <c r="AO19" i="8" s="1"/>
  <c r="AO20" i="8" s="1"/>
  <c r="AO21" i="8" s="1"/>
  <c r="AO22" i="8" s="1"/>
  <c r="AO23" i="8" s="1"/>
  <c r="AO24" i="8" s="1"/>
  <c r="AJ17" i="8"/>
  <c r="AJ16" i="8"/>
  <c r="AJ23" i="8"/>
  <c r="AJ30" i="8" s="1"/>
  <c r="AJ37" i="8" s="1"/>
  <c r="AJ44" i="8" s="1"/>
  <c r="AJ51" i="8" s="1"/>
  <c r="AJ58" i="8" s="1"/>
  <c r="AJ15" i="8"/>
  <c r="AJ14" i="8"/>
  <c r="AJ13" i="8"/>
  <c r="AO9" i="8"/>
  <c r="AO10" i="8" s="1"/>
  <c r="AO11" i="8" s="1"/>
  <c r="AO12" i="8" s="1"/>
  <c r="AO13" i="8" s="1"/>
  <c r="AO14" i="8" s="1"/>
  <c r="AO15" i="8" s="1"/>
  <c r="AJ61" i="7"/>
  <c r="AJ60" i="7"/>
  <c r="AM59" i="7"/>
  <c r="AK59" i="7"/>
  <c r="AK60" i="7" s="1"/>
  <c r="AJ59" i="7"/>
  <c r="AM58" i="7"/>
  <c r="AM57" i="7"/>
  <c r="AR32" i="7"/>
  <c r="AJ57" i="7"/>
  <c r="AJ56" i="7"/>
  <c r="AJ55" i="7"/>
  <c r="AJ54" i="7"/>
  <c r="AJ53" i="7"/>
  <c r="AK52" i="7"/>
  <c r="AK54" i="7"/>
  <c r="AM54" i="7" s="1"/>
  <c r="AR49" i="7" s="1"/>
  <c r="AJ52" i="7"/>
  <c r="AM51" i="7"/>
  <c r="AJ50" i="7"/>
  <c r="AJ49" i="7"/>
  <c r="AJ48" i="7"/>
  <c r="AJ47" i="7"/>
  <c r="AJ46" i="7"/>
  <c r="AJ45" i="7"/>
  <c r="AO44" i="7"/>
  <c r="AO45" i="7" s="1"/>
  <c r="AO46" i="7" s="1"/>
  <c r="AO47" i="7" s="1"/>
  <c r="AO48" i="7" s="1"/>
  <c r="AO49" i="7" s="1"/>
  <c r="AO50" i="7" s="1"/>
  <c r="AJ43" i="7"/>
  <c r="AJ42" i="7"/>
  <c r="AJ41" i="7"/>
  <c r="AJ40" i="7"/>
  <c r="AJ39" i="7"/>
  <c r="AJ38" i="7"/>
  <c r="AJ36" i="7"/>
  <c r="AO35" i="7"/>
  <c r="AO36" i="7" s="1"/>
  <c r="AO37" i="7" s="1"/>
  <c r="AO38" i="7" s="1"/>
  <c r="AO39" i="7" s="1"/>
  <c r="AO40" i="7" s="1"/>
  <c r="AO41" i="7" s="1"/>
  <c r="AJ35" i="7"/>
  <c r="AJ34" i="7"/>
  <c r="AJ33" i="7"/>
  <c r="AP32" i="7"/>
  <c r="AJ32" i="7"/>
  <c r="AP31" i="7"/>
  <c r="AJ31" i="7"/>
  <c r="AP30" i="7"/>
  <c r="AP29" i="7"/>
  <c r="AJ29" i="7"/>
  <c r="AP28" i="7"/>
  <c r="AJ28" i="7"/>
  <c r="AP27" i="7"/>
  <c r="AJ27" i="7"/>
  <c r="AP26" i="7"/>
  <c r="AO26" i="7"/>
  <c r="AO27" i="7" s="1"/>
  <c r="AO28" i="7" s="1"/>
  <c r="AO29" i="7" s="1"/>
  <c r="AO30" i="7" s="1"/>
  <c r="AO31" i="7" s="1"/>
  <c r="AO32" i="7" s="1"/>
  <c r="AJ26" i="7"/>
  <c r="AP25" i="7"/>
  <c r="AJ25" i="7"/>
  <c r="AJ24" i="7"/>
  <c r="AJ22" i="7"/>
  <c r="AJ21" i="7"/>
  <c r="AJ20" i="7"/>
  <c r="AJ19" i="7"/>
  <c r="AJ18" i="7"/>
  <c r="AO17" i="7"/>
  <c r="AO18" i="7" s="1"/>
  <c r="AO19" i="7" s="1"/>
  <c r="AO20" i="7" s="1"/>
  <c r="AO21" i="7" s="1"/>
  <c r="AO22" i="7" s="1"/>
  <c r="AO23" i="7" s="1"/>
  <c r="AJ17" i="7"/>
  <c r="AK16" i="7"/>
  <c r="AJ16" i="7"/>
  <c r="AJ23" i="7"/>
  <c r="AJ30" i="7" s="1"/>
  <c r="AJ37" i="7" s="1"/>
  <c r="AJ44" i="7" s="1"/>
  <c r="AJ51" i="7" s="1"/>
  <c r="AJ58" i="7" s="1"/>
  <c r="AJ15" i="7"/>
  <c r="AJ14" i="7"/>
  <c r="AJ13" i="7"/>
  <c r="AK9" i="7"/>
  <c r="AM9" i="7" s="1"/>
  <c r="AO8" i="7"/>
  <c r="AO9" i="7"/>
  <c r="AO10" i="7" s="1"/>
  <c r="AO11" i="7" s="1"/>
  <c r="AO12" i="7" s="1"/>
  <c r="AO13" i="7" s="1"/>
  <c r="AO14" i="7" s="1"/>
  <c r="AK53" i="7"/>
  <c r="AP40" i="7" s="1"/>
  <c r="AL55" i="5"/>
  <c r="D14" i="10"/>
  <c r="AM8" i="7"/>
  <c r="AR25" i="7" s="1"/>
  <c r="AQ26" i="8"/>
  <c r="AB8" i="8"/>
  <c r="AA8" i="8"/>
  <c r="AB9" i="8"/>
  <c r="AA9" i="8"/>
  <c r="AB10" i="8"/>
  <c r="AA10" i="8"/>
  <c r="AB11" i="8"/>
  <c r="AA11" i="8"/>
  <c r="AB12" i="8"/>
  <c r="BB37" i="7"/>
  <c r="AA12" i="8"/>
  <c r="AA13" i="8"/>
  <c r="AK10" i="7"/>
  <c r="AK11" i="7" s="1"/>
  <c r="AA14" i="8"/>
  <c r="AM10" i="7"/>
  <c r="AJ61" i="5"/>
  <c r="AJ60" i="5"/>
  <c r="AJ59" i="5"/>
  <c r="AJ57" i="5"/>
  <c r="AJ56" i="5"/>
  <c r="AJ55" i="5"/>
  <c r="AJ54" i="5"/>
  <c r="AJ53" i="5"/>
  <c r="AJ52" i="5"/>
  <c r="AJ50" i="5"/>
  <c r="AJ49" i="5"/>
  <c r="AJ48" i="5"/>
  <c r="AJ47" i="5"/>
  <c r="AJ46" i="5"/>
  <c r="AJ45" i="5"/>
  <c r="AJ43" i="5"/>
  <c r="AJ42" i="5"/>
  <c r="AJ41" i="5"/>
  <c r="AJ40" i="5"/>
  <c r="AJ39" i="5"/>
  <c r="AJ38" i="5"/>
  <c r="AJ36" i="5"/>
  <c r="AJ35" i="5"/>
  <c r="AJ34" i="5"/>
  <c r="AJ33" i="5"/>
  <c r="AJ32" i="5"/>
  <c r="AJ31" i="5"/>
  <c r="AJ29" i="5"/>
  <c r="AJ28" i="5"/>
  <c r="AJ27" i="5"/>
  <c r="AJ26" i="5"/>
  <c r="AJ25" i="5"/>
  <c r="AJ24" i="5"/>
  <c r="AJ22" i="5"/>
  <c r="AJ21" i="5"/>
  <c r="AJ20" i="5"/>
  <c r="AJ19" i="5"/>
  <c r="AJ18" i="5"/>
  <c r="AJ17" i="5"/>
  <c r="AJ16" i="5"/>
  <c r="AJ23" i="5" s="1"/>
  <c r="AJ30" i="5" s="1"/>
  <c r="AJ37" i="5" s="1"/>
  <c r="AJ44" i="5" s="1"/>
  <c r="AJ51" i="5" s="1"/>
  <c r="AJ58" i="5" s="1"/>
  <c r="AJ15" i="5"/>
  <c r="AJ14" i="5"/>
  <c r="AJ13" i="5"/>
  <c r="AA15" i="8"/>
  <c r="AO44" i="5"/>
  <c r="AO45" i="5"/>
  <c r="AO46" i="5" s="1"/>
  <c r="AO47" i="5" s="1"/>
  <c r="AO48" i="5" s="1"/>
  <c r="AO49" i="5" s="1"/>
  <c r="AO50" i="5" s="1"/>
  <c r="AO35" i="5"/>
  <c r="AO36" i="5" s="1"/>
  <c r="AO37" i="5" s="1"/>
  <c r="AO38" i="5" s="1"/>
  <c r="AO39" i="5" s="1"/>
  <c r="AO40" i="5" s="1"/>
  <c r="AO41" i="5" s="1"/>
  <c r="AP32" i="5"/>
  <c r="AM59" i="5"/>
  <c r="AM57" i="5"/>
  <c r="AR32" i="5" s="1"/>
  <c r="AM58" i="5"/>
  <c r="AP31" i="5"/>
  <c r="AP30" i="5"/>
  <c r="AP29" i="5"/>
  <c r="AP28" i="5"/>
  <c r="AP27" i="5"/>
  <c r="AP26" i="5"/>
  <c r="AP25" i="5"/>
  <c r="AO26" i="5"/>
  <c r="AO27" i="5" s="1"/>
  <c r="AO28" i="5" s="1"/>
  <c r="AO29" i="5" s="1"/>
  <c r="AO30" i="5" s="1"/>
  <c r="AO31" i="5" s="1"/>
  <c r="AO32" i="5" s="1"/>
  <c r="AO17" i="5"/>
  <c r="AO18" i="5" s="1"/>
  <c r="AO19" i="5" s="1"/>
  <c r="AO20" i="5" s="1"/>
  <c r="AO21" i="5" s="1"/>
  <c r="AO22" i="5" s="1"/>
  <c r="AO23" i="5" s="1"/>
  <c r="AO8" i="5"/>
  <c r="AO9" i="5" s="1"/>
  <c r="AO10" i="5" s="1"/>
  <c r="AO11" i="5" s="1"/>
  <c r="AO12" i="5" s="1"/>
  <c r="AO13" i="5" s="1"/>
  <c r="AO14" i="5" s="1"/>
  <c r="AK16" i="5"/>
  <c r="AM16" i="5" s="1"/>
  <c r="AK9" i="5"/>
  <c r="AL9" i="5"/>
  <c r="AA16" i="8"/>
  <c r="AG7" i="5"/>
  <c r="AM15" i="7"/>
  <c r="AR26" i="7" s="1"/>
  <c r="AB13" i="8"/>
  <c r="AA17" i="8"/>
  <c r="AB18" i="8"/>
  <c r="AB15" i="8"/>
  <c r="AB17" i="8"/>
  <c r="AB16" i="8"/>
  <c r="AB14" i="8"/>
  <c r="AQ27" i="8"/>
  <c r="AM16" i="7"/>
  <c r="AG8" i="5"/>
  <c r="AM8" i="5"/>
  <c r="AR25" i="5"/>
  <c r="AQ25" i="5"/>
  <c r="AM9" i="5"/>
  <c r="BB38" i="7"/>
  <c r="AB19" i="8"/>
  <c r="AI19" i="7"/>
  <c r="BA38" i="7" s="1"/>
  <c r="BC38" i="7" s="1"/>
  <c r="AA18" i="8"/>
  <c r="AQ54" i="8"/>
  <c r="AG9" i="5"/>
  <c r="AM22" i="7"/>
  <c r="AR27" i="7"/>
  <c r="AB20" i="8"/>
  <c r="AA19" i="8"/>
  <c r="AM23" i="7"/>
  <c r="AG10" i="5"/>
  <c r="AB21" i="8"/>
  <c r="AA20" i="8"/>
  <c r="AK17" i="7"/>
  <c r="AK19" i="7" s="1"/>
  <c r="AQ28" i="8"/>
  <c r="AG11" i="5"/>
  <c r="AB22" i="8"/>
  <c r="AA21" i="8"/>
  <c r="AM17" i="7"/>
  <c r="AG12" i="5"/>
  <c r="M14" i="5"/>
  <c r="M16" i="5"/>
  <c r="M15" i="5"/>
  <c r="AB23" i="8"/>
  <c r="AI12" i="5"/>
  <c r="BA37" i="5"/>
  <c r="BC37" i="5" s="1"/>
  <c r="BB37" i="5"/>
  <c r="AA22" i="8"/>
  <c r="AI9" i="5"/>
  <c r="AG13" i="5"/>
  <c r="AP26" i="8"/>
  <c r="AB24" i="8"/>
  <c r="AB25" i="8"/>
  <c r="AA23" i="8"/>
  <c r="AM8" i="8"/>
  <c r="AR26" i="8" s="1"/>
  <c r="AK9" i="8"/>
  <c r="AM9" i="8" s="1"/>
  <c r="AP7" i="5"/>
  <c r="AP16" i="5"/>
  <c r="AG14" i="5"/>
  <c r="AL16" i="5"/>
  <c r="AA24" i="8"/>
  <c r="AK10" i="5"/>
  <c r="AK11" i="5" s="1"/>
  <c r="AP34" i="5" s="1"/>
  <c r="AG15" i="5"/>
  <c r="AM15" i="5"/>
  <c r="AR26" i="5" s="1"/>
  <c r="AQ26" i="5"/>
  <c r="AM6" i="5"/>
  <c r="AR7" i="5" s="1"/>
  <c r="AK59" i="5"/>
  <c r="AK61" i="5" s="1"/>
  <c r="BB39" i="7"/>
  <c r="AQ55" i="8"/>
  <c r="AB26" i="8"/>
  <c r="AI26" i="7"/>
  <c r="BA39" i="7" s="1"/>
  <c r="BC39" i="7" s="1"/>
  <c r="AA25" i="8"/>
  <c r="AG16" i="5"/>
  <c r="AM7" i="5"/>
  <c r="AR16" i="5" s="1"/>
  <c r="AK12" i="5"/>
  <c r="AL10" i="5"/>
  <c r="AL12" i="5" s="1"/>
  <c r="AQ43" i="5" s="1"/>
  <c r="AM10" i="5"/>
  <c r="AM29" i="7"/>
  <c r="AR28" i="7" s="1"/>
  <c r="AB27" i="8"/>
  <c r="AA26" i="8"/>
  <c r="AG17" i="5"/>
  <c r="AB28" i="8"/>
  <c r="AA27" i="8"/>
  <c r="AK24" i="7"/>
  <c r="AQ29" i="8"/>
  <c r="AG18" i="5"/>
  <c r="AB29" i="8"/>
  <c r="AA28" i="8"/>
  <c r="AK25" i="7"/>
  <c r="AP36" i="7" s="1"/>
  <c r="AK26" i="7"/>
  <c r="AM26" i="7" s="1"/>
  <c r="AM24" i="7"/>
  <c r="AG19" i="5"/>
  <c r="AB30" i="8"/>
  <c r="M21" i="5"/>
  <c r="M23" i="5"/>
  <c r="M22" i="5"/>
  <c r="AI19" i="8"/>
  <c r="AP54" i="8" s="1"/>
  <c r="AR54" i="8" s="1"/>
  <c r="AI19" i="5"/>
  <c r="BA38" i="5"/>
  <c r="BC38" i="5" s="1"/>
  <c r="BB38" i="5"/>
  <c r="AI16" i="5"/>
  <c r="AA29" i="8"/>
  <c r="AP45" i="7"/>
  <c r="AR45" i="7"/>
  <c r="AG20" i="5"/>
  <c r="AB31" i="8"/>
  <c r="AA30" i="8"/>
  <c r="AP27" i="8"/>
  <c r="AM15" i="8"/>
  <c r="AR27" i="8" s="1"/>
  <c r="AK16" i="8"/>
  <c r="AM16" i="8" s="1"/>
  <c r="AI14" i="5"/>
  <c r="AG21" i="5"/>
  <c r="AP17" i="5"/>
  <c r="AA31" i="8"/>
  <c r="AB32" i="8"/>
  <c r="AP8" i="5"/>
  <c r="AM22" i="5"/>
  <c r="AR27" i="5" s="1"/>
  <c r="AQ27" i="5"/>
  <c r="AQ8" i="5"/>
  <c r="AM13" i="5"/>
  <c r="AM23" i="5"/>
  <c r="BB40" i="7"/>
  <c r="AQ56" i="8"/>
  <c r="AG23" i="5"/>
  <c r="AG22" i="5"/>
  <c r="AB33" i="8"/>
  <c r="AI33" i="7"/>
  <c r="BA40" i="7" s="1"/>
  <c r="BC40" i="7" s="1"/>
  <c r="AK17" i="5"/>
  <c r="AK18" i="5" s="1"/>
  <c r="AR8" i="5"/>
  <c r="AA32" i="8"/>
  <c r="AM14" i="5"/>
  <c r="AR17" i="5" s="1"/>
  <c r="AL17" i="5"/>
  <c r="AM36" i="7"/>
  <c r="AR29" i="7" s="1"/>
  <c r="AM17" i="5"/>
  <c r="AK19" i="5"/>
  <c r="AP44" i="5" s="1"/>
  <c r="AB34" i="8"/>
  <c r="AA33" i="8"/>
  <c r="AM37" i="7"/>
  <c r="AG24" i="5"/>
  <c r="AL18" i="5"/>
  <c r="AQ35" i="5" s="1"/>
  <c r="AA34" i="8"/>
  <c r="AB35" i="8"/>
  <c r="AK31" i="7"/>
  <c r="AK33" i="7" s="1"/>
  <c r="AQ30" i="8"/>
  <c r="AG25" i="5"/>
  <c r="AL19" i="5"/>
  <c r="AQ44" i="5" s="1"/>
  <c r="AA35" i="8"/>
  <c r="AB36" i="8"/>
  <c r="AM31" i="7"/>
  <c r="AK32" i="7"/>
  <c r="AG26" i="5"/>
  <c r="M30" i="5"/>
  <c r="M29" i="5"/>
  <c r="M28" i="5"/>
  <c r="AI26" i="5"/>
  <c r="BA39" i="5" s="1"/>
  <c r="BC39" i="5" s="1"/>
  <c r="BB39" i="5"/>
  <c r="AA36" i="8"/>
  <c r="AB37" i="8"/>
  <c r="AI21" i="5"/>
  <c r="AL20" i="5"/>
  <c r="AQ9" i="5" s="1"/>
  <c r="AG27" i="5"/>
  <c r="AB38" i="8"/>
  <c r="AA37" i="8"/>
  <c r="AP28" i="8"/>
  <c r="AM22" i="8"/>
  <c r="AR28" i="8" s="1"/>
  <c r="AM23" i="8"/>
  <c r="AG28" i="5"/>
  <c r="AP18" i="5"/>
  <c r="AA38" i="8"/>
  <c r="AB39" i="8"/>
  <c r="AG29" i="5"/>
  <c r="AP9" i="5"/>
  <c r="AK24" i="5"/>
  <c r="AK25" i="5"/>
  <c r="AP36" i="5" s="1"/>
  <c r="AM20" i="5"/>
  <c r="AR9" i="5" s="1"/>
  <c r="AM29" i="5"/>
  <c r="AR28" i="5"/>
  <c r="AQ28" i="5"/>
  <c r="AM30" i="5"/>
  <c r="BB41" i="7"/>
  <c r="AQ57" i="8"/>
  <c r="AI40" i="7"/>
  <c r="BA41" i="7" s="1"/>
  <c r="BC41" i="7" s="1"/>
  <c r="AB40" i="8"/>
  <c r="AA39" i="8"/>
  <c r="AG30" i="5"/>
  <c r="AK26" i="5"/>
  <c r="AM26" i="5" s="1"/>
  <c r="AR45" i="5" s="1"/>
  <c r="AP45" i="5"/>
  <c r="AM21" i="5"/>
  <c r="AR18" i="5" s="1"/>
  <c r="AL24" i="5"/>
  <c r="AL26" i="5" s="1"/>
  <c r="AQ45" i="5" s="1"/>
  <c r="AM24" i="5"/>
  <c r="AB41" i="8"/>
  <c r="AA40" i="8"/>
  <c r="AM44" i="7"/>
  <c r="AG31" i="5"/>
  <c r="AA41" i="8"/>
  <c r="AB42" i="8"/>
  <c r="AK38" i="7"/>
  <c r="AK39" i="7" s="1"/>
  <c r="AG32" i="5"/>
  <c r="AA42" i="8"/>
  <c r="AB43" i="8"/>
  <c r="AM38" i="7"/>
  <c r="AG33" i="5"/>
  <c r="M37" i="5"/>
  <c r="M35" i="5"/>
  <c r="M36" i="5"/>
  <c r="AI33" i="5"/>
  <c r="BA40" i="5" s="1"/>
  <c r="BC40" i="5" s="1"/>
  <c r="BB40" i="5"/>
  <c r="AA43" i="8"/>
  <c r="AB44" i="8"/>
  <c r="AG34" i="5"/>
  <c r="AI30" i="5"/>
  <c r="AA44" i="8"/>
  <c r="AB45" i="8"/>
  <c r="AP19" i="5"/>
  <c r="AI28" i="5"/>
  <c r="AL27" i="5"/>
  <c r="AQ10" i="5" s="1"/>
  <c r="AG35" i="5"/>
  <c r="AA45" i="8"/>
  <c r="AB46" i="8"/>
  <c r="AK31" i="5"/>
  <c r="AP10" i="5"/>
  <c r="AG36" i="5"/>
  <c r="AQ29" i="5"/>
  <c r="AM36" i="5"/>
  <c r="AR29" i="5" s="1"/>
  <c r="AM27" i="5"/>
  <c r="AR10" i="5" s="1"/>
  <c r="AK45" i="7"/>
  <c r="AK47" i="7" s="1"/>
  <c r="AA46" i="8"/>
  <c r="AB47" i="8"/>
  <c r="AG37" i="5"/>
  <c r="AM28" i="5"/>
  <c r="AR19" i="5"/>
  <c r="AL31" i="5"/>
  <c r="AM31" i="5"/>
  <c r="AM50" i="7"/>
  <c r="AR31" i="7" s="1"/>
  <c r="AA47" i="8"/>
  <c r="AB48" i="8"/>
  <c r="AM52" i="7"/>
  <c r="AG38" i="5"/>
  <c r="AA48" i="8"/>
  <c r="AB49" i="8"/>
  <c r="AQ32" i="8"/>
  <c r="AG39" i="5"/>
  <c r="AA49" i="8"/>
  <c r="AB50" i="8"/>
  <c r="AG40" i="5"/>
  <c r="AI35" i="5"/>
  <c r="AI40" i="5"/>
  <c r="BA41" i="5" s="1"/>
  <c r="BC41" i="5" s="1"/>
  <c r="BB41" i="5"/>
  <c r="AA50" i="8"/>
  <c r="AB51" i="8"/>
  <c r="AG41" i="5"/>
  <c r="AI37" i="5"/>
  <c r="AP11" i="5"/>
  <c r="AA51" i="8"/>
  <c r="AB52" i="8"/>
  <c r="AG42" i="5"/>
  <c r="AP20" i="5"/>
  <c r="AA52" i="8"/>
  <c r="AB53" i="8"/>
  <c r="AG43" i="5"/>
  <c r="AM34" i="5"/>
  <c r="AR11" i="5"/>
  <c r="AL38" i="5"/>
  <c r="AL39" i="5" s="1"/>
  <c r="AQ38" i="5" s="1"/>
  <c r="BB43" i="7"/>
  <c r="AQ59" i="8"/>
  <c r="AK38" i="5"/>
  <c r="AK39" i="5" s="1"/>
  <c r="AA53" i="8"/>
  <c r="AB54" i="8"/>
  <c r="AG44" i="5"/>
  <c r="AM35" i="5"/>
  <c r="AR20" i="5" s="1"/>
  <c r="AM38" i="5"/>
  <c r="AA54" i="8"/>
  <c r="AB55" i="8"/>
  <c r="AG45" i="5"/>
  <c r="AA55" i="8"/>
  <c r="AB56" i="8"/>
  <c r="AG46" i="5"/>
  <c r="AA56" i="8"/>
  <c r="AB57" i="8"/>
  <c r="AG47" i="5"/>
  <c r="AI42" i="5"/>
  <c r="AI47" i="8"/>
  <c r="AP58" i="8" s="1"/>
  <c r="AR58" i="8" s="1"/>
  <c r="M49" i="5"/>
  <c r="M50" i="5"/>
  <c r="M51" i="5"/>
  <c r="AI47" i="5"/>
  <c r="BA42" i="5" s="1"/>
  <c r="BC42" i="5" s="1"/>
  <c r="AA57" i="8"/>
  <c r="AB58" i="8"/>
  <c r="AG48" i="5"/>
  <c r="AI44" i="5"/>
  <c r="AA58" i="8"/>
  <c r="AB59" i="8"/>
  <c r="AP21" i="5"/>
  <c r="AG49" i="5"/>
  <c r="AL41" i="5"/>
  <c r="AQ12" i="5" s="1"/>
  <c r="AM50" i="5"/>
  <c r="AR31" i="5"/>
  <c r="AA59" i="8"/>
  <c r="AA61" i="8"/>
  <c r="AB60" i="8"/>
  <c r="AK45" i="5"/>
  <c r="AK46" i="5" s="1"/>
  <c r="AP39" i="5" s="1"/>
  <c r="AP12" i="5"/>
  <c r="AG50" i="5"/>
  <c r="AQ31" i="5"/>
  <c r="AM51" i="5"/>
  <c r="AM41" i="5"/>
  <c r="AR12" i="5" s="1"/>
  <c r="AI61" i="8"/>
  <c r="AP60" i="8" s="1"/>
  <c r="AR60" i="8" s="1"/>
  <c r="AQ60" i="8"/>
  <c r="AB61" i="8"/>
  <c r="AI61" i="7"/>
  <c r="BB44" i="7"/>
  <c r="AA60" i="8"/>
  <c r="AG51" i="5"/>
  <c r="AM42" i="5"/>
  <c r="AR21" i="5" s="1"/>
  <c r="BA44" i="7"/>
  <c r="BC44" i="7" s="1"/>
  <c r="AG52" i="5"/>
  <c r="AG53" i="5"/>
  <c r="AI51" i="5"/>
  <c r="AI54" i="8"/>
  <c r="AP59" i="8" s="1"/>
  <c r="AR59" i="8" s="1"/>
  <c r="AG54" i="5"/>
  <c r="AI49" i="5"/>
  <c r="M57" i="5"/>
  <c r="M56" i="5"/>
  <c r="M58" i="5"/>
  <c r="AI54" i="5"/>
  <c r="BA43" i="5" s="1"/>
  <c r="BC43" i="5" s="1"/>
  <c r="BB43" i="5"/>
  <c r="AL48" i="5"/>
  <c r="AQ13" i="5" s="1"/>
  <c r="AG55" i="5"/>
  <c r="AM48" i="5"/>
  <c r="AR13" i="5" s="1"/>
  <c r="AG56" i="5"/>
  <c r="AQ32" i="5"/>
  <c r="AP13" i="5"/>
  <c r="AG57" i="5"/>
  <c r="AL52" i="5"/>
  <c r="AL53" i="5" s="1"/>
  <c r="AQ40" i="5" s="1"/>
  <c r="AP22" i="5"/>
  <c r="AK52" i="5"/>
  <c r="AK53" i="5" s="1"/>
  <c r="AM49" i="5"/>
  <c r="AR22" i="5"/>
  <c r="AG58" i="5"/>
  <c r="AI56" i="5"/>
  <c r="AM52" i="5"/>
  <c r="AG59" i="5"/>
  <c r="AG60" i="5"/>
  <c r="AG61" i="5"/>
  <c r="AI61" i="5"/>
  <c r="BB44" i="5"/>
  <c r="AP14" i="5"/>
  <c r="AM55" i="5"/>
  <c r="AR14" i="5" s="1"/>
  <c r="AP23" i="5"/>
  <c r="BA44" i="5"/>
  <c r="BC44" i="5" s="1"/>
  <c r="AQ14" i="5"/>
  <c r="AM56" i="5"/>
  <c r="AR23" i="5" s="1"/>
  <c r="AL59" i="5"/>
  <c r="AL61" i="5" s="1"/>
  <c r="AQ50" i="5" s="1"/>
  <c r="AL60" i="5"/>
  <c r="AQ41" i="5" s="1"/>
  <c r="B30" i="10"/>
  <c r="AQ39" i="8"/>
  <c r="AQ48" i="8"/>
  <c r="AK24" i="8"/>
  <c r="AK25" i="8" s="1"/>
  <c r="AK26" i="8"/>
  <c r="AM26" i="8" s="1"/>
  <c r="AR46" i="8" s="1"/>
  <c r="AM24" i="8"/>
  <c r="AK17" i="8"/>
  <c r="AK18" i="8" s="1"/>
  <c r="AM17" i="8"/>
  <c r="AK10" i="8"/>
  <c r="AK11" i="8" s="1"/>
  <c r="AM10" i="8"/>
  <c r="AQ35" i="8"/>
  <c r="D30" i="10"/>
  <c r="D16" i="10"/>
  <c r="D12" i="10"/>
  <c r="I62" i="7"/>
  <c r="BB42" i="5"/>
  <c r="AM44" i="5"/>
  <c r="I62" i="5"/>
  <c r="AL45" i="8"/>
  <c r="AL46" i="8" s="1"/>
  <c r="AQ40" i="8" s="1"/>
  <c r="AM45" i="7"/>
  <c r="BB42" i="7"/>
  <c r="AQ58" i="8"/>
  <c r="AQ31" i="8"/>
  <c r="AM43" i="7"/>
  <c r="AR30" i="7" s="1"/>
  <c r="AM43" i="5"/>
  <c r="AR30" i="5" s="1"/>
  <c r="AQ30" i="5"/>
  <c r="AL45" i="5"/>
  <c r="AL46" i="5" s="1"/>
  <c r="AQ39" i="5" s="1"/>
  <c r="AM45" i="5"/>
  <c r="AM46" i="5"/>
  <c r="AR39" i="5" s="1"/>
  <c r="AL51" i="5"/>
  <c r="AL44" i="5"/>
  <c r="G54" i="30" l="1"/>
  <c r="G58" i="30"/>
  <c r="E4" i="26"/>
  <c r="G56" i="30"/>
  <c r="N56" i="5" s="1"/>
  <c r="N58" i="5" s="1"/>
  <c r="N59" i="5"/>
  <c r="N45" i="5"/>
  <c r="N31" i="5"/>
  <c r="N33" i="5" s="1"/>
  <c r="N28" i="5"/>
  <c r="N30" i="5" s="1"/>
  <c r="N45" i="8"/>
  <c r="N38" i="5"/>
  <c r="N31" i="8"/>
  <c r="N59" i="8"/>
  <c r="N45" i="27"/>
  <c r="N31" i="26"/>
  <c r="N33" i="26" s="1"/>
  <c r="N38" i="8"/>
  <c r="N31" i="27"/>
  <c r="N45" i="26"/>
  <c r="N59" i="26"/>
  <c r="AP40" i="5"/>
  <c r="AM53" i="5"/>
  <c r="AR40" i="5" s="1"/>
  <c r="AP50" i="5"/>
  <c r="AM61" i="5"/>
  <c r="AR50" i="5" s="1"/>
  <c r="AK54" i="5"/>
  <c r="AP49" i="5" s="1"/>
  <c r="AL32" i="5"/>
  <c r="AQ37" i="5" s="1"/>
  <c r="AL33" i="5"/>
  <c r="AQ46" i="5" s="1"/>
  <c r="AM25" i="7"/>
  <c r="AR36" i="7" s="1"/>
  <c r="AK60" i="5"/>
  <c r="AK33" i="26"/>
  <c r="AK32" i="26"/>
  <c r="L51" i="26"/>
  <c r="K16" i="27"/>
  <c r="K57" i="27"/>
  <c r="K50" i="27"/>
  <c r="K43" i="27"/>
  <c r="K29" i="27"/>
  <c r="K15" i="27"/>
  <c r="K22" i="27"/>
  <c r="AB6" i="8"/>
  <c r="AD24" i="7"/>
  <c r="V6" i="7"/>
  <c r="V7" i="7" s="1"/>
  <c r="V8" i="7" s="1"/>
  <c r="V9" i="7" s="1"/>
  <c r="V10" i="7" s="1"/>
  <c r="V11" i="7" s="1"/>
  <c r="V12" i="7" s="1"/>
  <c r="V13" i="7" s="1"/>
  <c r="V14" i="7" s="1"/>
  <c r="V15" i="7" s="1"/>
  <c r="V16" i="7" s="1"/>
  <c r="V17" i="7" s="1"/>
  <c r="V18" i="7" s="1"/>
  <c r="V19" i="7" s="1"/>
  <c r="V20" i="7" s="1"/>
  <c r="V21" i="7" s="1"/>
  <c r="V22" i="7" s="1"/>
  <c r="V23" i="7" s="1"/>
  <c r="V24" i="7" s="1"/>
  <c r="V25" i="7" s="1"/>
  <c r="V26" i="7" s="1"/>
  <c r="V27" i="7" s="1"/>
  <c r="V28" i="7" s="1"/>
  <c r="V29" i="7" s="1"/>
  <c r="V30" i="7" s="1"/>
  <c r="V31" i="7" s="1"/>
  <c r="V32" i="7" s="1"/>
  <c r="V33" i="7" s="1"/>
  <c r="V34" i="7" s="1"/>
  <c r="V35" i="7" s="1"/>
  <c r="V36" i="7" s="1"/>
  <c r="V37" i="7" s="1"/>
  <c r="V38" i="7" s="1"/>
  <c r="V39" i="7" s="1"/>
  <c r="V40" i="7" s="1"/>
  <c r="V41" i="7" s="1"/>
  <c r="V42" i="7" s="1"/>
  <c r="V43" i="7" s="1"/>
  <c r="V44" i="7" s="1"/>
  <c r="V45" i="7" s="1"/>
  <c r="V46" i="7" s="1"/>
  <c r="V47" i="7" s="1"/>
  <c r="V48" i="7" s="1"/>
  <c r="V49" i="7" s="1"/>
  <c r="V50" i="7" s="1"/>
  <c r="V51" i="7" s="1"/>
  <c r="V52" i="7" s="1"/>
  <c r="V53" i="7" s="1"/>
  <c r="V54" i="7" s="1"/>
  <c r="V55" i="7" s="1"/>
  <c r="V56" i="7" s="1"/>
  <c r="V57" i="7" s="1"/>
  <c r="V58" i="7" s="1"/>
  <c r="V59" i="7" s="1"/>
  <c r="V60" i="7" s="1"/>
  <c r="V61" i="7" s="1"/>
  <c r="AD36" i="7"/>
  <c r="AD48" i="7"/>
  <c r="N26" i="29"/>
  <c r="M25" i="29"/>
  <c r="J8" i="11"/>
  <c r="Z40" i="29"/>
  <c r="Y39" i="29"/>
  <c r="N55" i="26"/>
  <c r="N34" i="26"/>
  <c r="N20" i="26"/>
  <c r="N48" i="26"/>
  <c r="N27" i="26"/>
  <c r="N41" i="26"/>
  <c r="N13" i="26"/>
  <c r="AL47" i="5"/>
  <c r="AQ48" i="5" s="1"/>
  <c r="AM32" i="7"/>
  <c r="AR37" i="7" s="1"/>
  <c r="AP37" i="7"/>
  <c r="AM53" i="7"/>
  <c r="AR40" i="7" s="1"/>
  <c r="L10" i="7"/>
  <c r="L12" i="7" s="1"/>
  <c r="L9" i="7"/>
  <c r="K37" i="8"/>
  <c r="K30" i="8"/>
  <c r="K58" i="8"/>
  <c r="K51" i="8"/>
  <c r="K44" i="8"/>
  <c r="AQ53" i="8"/>
  <c r="AI26" i="8"/>
  <c r="AP55" i="8" s="1"/>
  <c r="AR55" i="8" s="1"/>
  <c r="AI33" i="8"/>
  <c r="AP56" i="8" s="1"/>
  <c r="AR56" i="8" s="1"/>
  <c r="AI40" i="8"/>
  <c r="AP57" i="8" s="1"/>
  <c r="AR57" i="8" s="1"/>
  <c r="AI12" i="8"/>
  <c r="AP53" i="8" s="1"/>
  <c r="AR53" i="8" s="1"/>
  <c r="AC2" i="8"/>
  <c r="AL32" i="8"/>
  <c r="AQ38" i="8" s="1"/>
  <c r="AL33" i="8"/>
  <c r="AQ47" i="8" s="1"/>
  <c r="K47" i="26"/>
  <c r="K26" i="26"/>
  <c r="K61" i="26"/>
  <c r="K33" i="26"/>
  <c r="K19" i="26"/>
  <c r="K40" i="26"/>
  <c r="AK61" i="26"/>
  <c r="AK60" i="26"/>
  <c r="W4" i="27"/>
  <c r="W4" i="7"/>
  <c r="K30" i="27"/>
  <c r="AP43" i="5"/>
  <c r="AM12" i="5"/>
  <c r="AR43" i="5" s="1"/>
  <c r="K23" i="27"/>
  <c r="K58" i="27"/>
  <c r="K51" i="27"/>
  <c r="K37" i="27"/>
  <c r="N24" i="7"/>
  <c r="N26" i="7" s="1"/>
  <c r="N24" i="5"/>
  <c r="N26" i="5" s="1"/>
  <c r="N24" i="26"/>
  <c r="N26" i="26" s="1"/>
  <c r="N24" i="27"/>
  <c r="N26" i="27" s="1"/>
  <c r="AK19" i="8"/>
  <c r="AM19" i="8" s="1"/>
  <c r="AR45" i="8" s="1"/>
  <c r="AL54" i="5"/>
  <c r="AQ49" i="5" s="1"/>
  <c r="AK46" i="7"/>
  <c r="AK32" i="5"/>
  <c r="AK33" i="5"/>
  <c r="AP46" i="5" s="1"/>
  <c r="AM25" i="5"/>
  <c r="AR36" i="5" s="1"/>
  <c r="AM11" i="5"/>
  <c r="AR34" i="5" s="1"/>
  <c r="AK18" i="7"/>
  <c r="AK19" i="26"/>
  <c r="AK18" i="26"/>
  <c r="AP35" i="26" s="1"/>
  <c r="B31" i="10"/>
  <c r="AI19" i="27"/>
  <c r="BA38" i="27" s="1"/>
  <c r="BC38" i="27" s="1"/>
  <c r="AI61" i="27"/>
  <c r="BA44" i="27" s="1"/>
  <c r="BC44" i="27" s="1"/>
  <c r="AI54" i="27"/>
  <c r="BA43" i="27" s="1"/>
  <c r="BC43" i="27" s="1"/>
  <c r="AI26" i="27"/>
  <c r="BA39" i="27" s="1"/>
  <c r="BC39" i="27" s="1"/>
  <c r="AI26" i="26"/>
  <c r="BA39" i="26" s="1"/>
  <c r="BC39" i="26" s="1"/>
  <c r="AI19" i="26"/>
  <c r="BA38" i="26" s="1"/>
  <c r="BC38" i="26" s="1"/>
  <c r="AI12" i="7"/>
  <c r="BA37" i="7" s="1"/>
  <c r="BC37" i="7" s="1"/>
  <c r="AI47" i="7"/>
  <c r="BA42" i="7" s="1"/>
  <c r="BC42" i="7" s="1"/>
  <c r="AI54" i="7"/>
  <c r="BA43" i="7" s="1"/>
  <c r="BC43" i="7" s="1"/>
  <c r="AI47" i="27"/>
  <c r="BA42" i="27" s="1"/>
  <c r="BC42" i="27" s="1"/>
  <c r="AI40" i="27"/>
  <c r="BA41" i="27" s="1"/>
  <c r="BC41" i="27" s="1"/>
  <c r="AI12" i="27"/>
  <c r="BA37" i="27" s="1"/>
  <c r="BC37" i="27" s="1"/>
  <c r="AI54" i="26"/>
  <c r="BA43" i="26" s="1"/>
  <c r="BC43" i="26" s="1"/>
  <c r="AI47" i="26"/>
  <c r="BA42" i="26" s="1"/>
  <c r="BC42" i="26" s="1"/>
  <c r="AI40" i="26"/>
  <c r="BA41" i="26" s="1"/>
  <c r="BC41" i="26" s="1"/>
  <c r="AI33" i="26"/>
  <c r="BA40" i="26" s="1"/>
  <c r="BC40" i="26" s="1"/>
  <c r="AI12" i="26"/>
  <c r="BA37" i="26" s="1"/>
  <c r="BC37" i="26" s="1"/>
  <c r="AI33" i="27"/>
  <c r="BA40" i="27" s="1"/>
  <c r="BC40" i="27" s="1"/>
  <c r="AI61" i="26"/>
  <c r="BA44" i="26" s="1"/>
  <c r="BC44" i="26" s="1"/>
  <c r="AL34" i="5"/>
  <c r="AQ11" i="5" s="1"/>
  <c r="AL37" i="5"/>
  <c r="AL30" i="5"/>
  <c r="AI23" i="5"/>
  <c r="AI7" i="5"/>
  <c r="AL6" i="5"/>
  <c r="AL7" i="5" s="1"/>
  <c r="J16" i="11"/>
  <c r="J11" i="11"/>
  <c r="J29" i="11"/>
  <c r="J6" i="11"/>
  <c r="J15" i="11"/>
  <c r="J23" i="11"/>
  <c r="J19" i="11"/>
  <c r="J25" i="11"/>
  <c r="E26" i="10"/>
  <c r="E27" i="10" s="1"/>
  <c r="J17" i="11"/>
  <c r="J5" i="11"/>
  <c r="J27" i="11"/>
  <c r="J12" i="11"/>
  <c r="J22" i="11"/>
  <c r="J9" i="11"/>
  <c r="J30" i="11"/>
  <c r="J24" i="11"/>
  <c r="J10" i="11"/>
  <c r="J18" i="11"/>
  <c r="J20" i="11"/>
  <c r="J21" i="11"/>
  <c r="J26" i="11"/>
  <c r="Z54" i="29"/>
  <c r="Y53" i="29"/>
  <c r="J4" i="8"/>
  <c r="J6" i="7"/>
  <c r="AH6" i="7"/>
  <c r="AH10" i="7"/>
  <c r="AH14" i="7"/>
  <c r="AH18" i="7"/>
  <c r="AH22" i="7"/>
  <c r="AH26" i="7"/>
  <c r="AH30" i="7"/>
  <c r="AH34" i="7"/>
  <c r="AH38" i="7"/>
  <c r="AH42" i="7"/>
  <c r="AH46" i="7"/>
  <c r="AH50" i="7"/>
  <c r="AH54" i="7"/>
  <c r="AH58" i="7"/>
  <c r="AH7" i="7"/>
  <c r="AH11" i="7"/>
  <c r="AH15" i="7"/>
  <c r="AH19" i="7"/>
  <c r="AH23" i="7"/>
  <c r="AH27" i="7"/>
  <c r="AH31" i="7"/>
  <c r="AH35" i="7"/>
  <c r="AH39" i="7"/>
  <c r="AH43" i="7"/>
  <c r="AH47" i="7"/>
  <c r="AH51" i="7"/>
  <c r="AH55" i="7"/>
  <c r="AH59" i="7"/>
  <c r="M4" i="7"/>
  <c r="AH8" i="7"/>
  <c r="AH16" i="7"/>
  <c r="AH24" i="7"/>
  <c r="AH32" i="7"/>
  <c r="AH40" i="7"/>
  <c r="AH48" i="7"/>
  <c r="AH56" i="7"/>
  <c r="AH9" i="7"/>
  <c r="AH17" i="7"/>
  <c r="AH25" i="7"/>
  <c r="AH33" i="7"/>
  <c r="AH41" i="7"/>
  <c r="AH49" i="7"/>
  <c r="AH57" i="7"/>
  <c r="AH13" i="7"/>
  <c r="AH29" i="7"/>
  <c r="AH45" i="7"/>
  <c r="AH61" i="7"/>
  <c r="AH20" i="7"/>
  <c r="AH36" i="7"/>
  <c r="AH52" i="7"/>
  <c r="AH21" i="7"/>
  <c r="AH37" i="7"/>
  <c r="AH53" i="7"/>
  <c r="M12" i="7"/>
  <c r="M33" i="7"/>
  <c r="M17" i="7"/>
  <c r="M45" i="7"/>
  <c r="M47" i="7"/>
  <c r="M11" i="7"/>
  <c r="M39" i="7"/>
  <c r="L46" i="8"/>
  <c r="AC6" i="5"/>
  <c r="AC7" i="5" s="1"/>
  <c r="AC8" i="5" s="1"/>
  <c r="AC9" i="5" s="1"/>
  <c r="AC10" i="5" s="1"/>
  <c r="AC11" i="5" s="1"/>
  <c r="AC12" i="5" s="1"/>
  <c r="AC13" i="5" s="1"/>
  <c r="AC14" i="5" s="1"/>
  <c r="AC15" i="5" s="1"/>
  <c r="AC16" i="5" s="1"/>
  <c r="AC17" i="5" s="1"/>
  <c r="AC18" i="5" s="1"/>
  <c r="AC19" i="5" s="1"/>
  <c r="AC20" i="5" s="1"/>
  <c r="AC21" i="5" s="1"/>
  <c r="AC22" i="5" s="1"/>
  <c r="AC23" i="5" s="1"/>
  <c r="AC24" i="5" s="1"/>
  <c r="AC25" i="5" s="1"/>
  <c r="AC26" i="5" s="1"/>
  <c r="AC27" i="5" s="1"/>
  <c r="AC28" i="5" s="1"/>
  <c r="AC29" i="5" s="1"/>
  <c r="AC30" i="5" s="1"/>
  <c r="AC31" i="5" s="1"/>
  <c r="AC32" i="5" s="1"/>
  <c r="AC33" i="5" s="1"/>
  <c r="AC34" i="5" s="1"/>
  <c r="AC35" i="5" s="1"/>
  <c r="AC36" i="5" s="1"/>
  <c r="AC37" i="5" s="1"/>
  <c r="AC38" i="5" s="1"/>
  <c r="AC39" i="5" s="1"/>
  <c r="AC40" i="5" s="1"/>
  <c r="AC41" i="5" s="1"/>
  <c r="AC42" i="5" s="1"/>
  <c r="AC43" i="5" s="1"/>
  <c r="AC44" i="5" s="1"/>
  <c r="AC45" i="5" s="1"/>
  <c r="AC46" i="5" s="1"/>
  <c r="AC47" i="5" s="1"/>
  <c r="AC48" i="5" s="1"/>
  <c r="AC49" i="5" s="1"/>
  <c r="AC50" i="5" s="1"/>
  <c r="AC51" i="5" s="1"/>
  <c r="AC52" i="5" s="1"/>
  <c r="AC53" i="5" s="1"/>
  <c r="AC54" i="5" s="1"/>
  <c r="AC55" i="5" s="1"/>
  <c r="AC56" i="5" s="1"/>
  <c r="AC57" i="5" s="1"/>
  <c r="AC58" i="5" s="1"/>
  <c r="AC59" i="5" s="1"/>
  <c r="AC60" i="5" s="1"/>
  <c r="AC61" i="5" s="1"/>
  <c r="AE8" i="5"/>
  <c r="AE9" i="5" s="1"/>
  <c r="AE10" i="5" s="1"/>
  <c r="AE11" i="5" s="1"/>
  <c r="AE12" i="5" s="1"/>
  <c r="AE13" i="5" s="1"/>
  <c r="AE14" i="5" s="1"/>
  <c r="AE15" i="5" s="1"/>
  <c r="AE16" i="5" s="1"/>
  <c r="AE17" i="5" s="1"/>
  <c r="AE18" i="5" s="1"/>
  <c r="AE19" i="5" s="1"/>
  <c r="AE20" i="5" s="1"/>
  <c r="AE21" i="5" s="1"/>
  <c r="AE22" i="5" s="1"/>
  <c r="AE23" i="5" s="1"/>
  <c r="AE24" i="5" s="1"/>
  <c r="AE25" i="5" s="1"/>
  <c r="AE26" i="5" s="1"/>
  <c r="AE27" i="5" s="1"/>
  <c r="AE28" i="5" s="1"/>
  <c r="AE29" i="5" s="1"/>
  <c r="AE30" i="5" s="1"/>
  <c r="AE31" i="5" s="1"/>
  <c r="AE32" i="5" s="1"/>
  <c r="AE33" i="5" s="1"/>
  <c r="AE34" i="5" s="1"/>
  <c r="AE35" i="5" s="1"/>
  <c r="AE36" i="5" s="1"/>
  <c r="AE37" i="5" s="1"/>
  <c r="AE38" i="5" s="1"/>
  <c r="AE39" i="5" s="1"/>
  <c r="AE40" i="5" s="1"/>
  <c r="AE41" i="5" s="1"/>
  <c r="AE42" i="5" s="1"/>
  <c r="AE43" i="5" s="1"/>
  <c r="AE44" i="5" s="1"/>
  <c r="AE45" i="5" s="1"/>
  <c r="AE46" i="5" s="1"/>
  <c r="AE47" i="5" s="1"/>
  <c r="AE48" i="5" s="1"/>
  <c r="AE49" i="5" s="1"/>
  <c r="AE50" i="5" s="1"/>
  <c r="AE51" i="5" s="1"/>
  <c r="AE52" i="5" s="1"/>
  <c r="AE53" i="5" s="1"/>
  <c r="AE54" i="5" s="1"/>
  <c r="AE55" i="5" s="1"/>
  <c r="AE56" i="5" s="1"/>
  <c r="AE57" i="5" s="1"/>
  <c r="AE58" i="5" s="1"/>
  <c r="AE59" i="5" s="1"/>
  <c r="AE60" i="5" s="1"/>
  <c r="AE61" i="5" s="1"/>
  <c r="L30" i="27"/>
  <c r="F3" i="10"/>
  <c r="BB44" i="27"/>
  <c r="BB42" i="27"/>
  <c r="BB37" i="27"/>
  <c r="BB42" i="26"/>
  <c r="AL58" i="5"/>
  <c r="B4" i="10"/>
  <c r="I62" i="8"/>
  <c r="C22" i="10" s="1"/>
  <c r="G62" i="8"/>
  <c r="B21" i="10" s="1"/>
  <c r="B34" i="11" s="1"/>
  <c r="G4" i="10"/>
  <c r="C62" i="26"/>
  <c r="G23" i="10" s="1"/>
  <c r="G30" i="10" s="1"/>
  <c r="I62" i="26"/>
  <c r="AH44" i="7"/>
  <c r="I8" i="11"/>
  <c r="I3" i="11" s="1"/>
  <c r="I35" i="11" s="1"/>
  <c r="M46" i="7"/>
  <c r="M38" i="7"/>
  <c r="M19" i="7"/>
  <c r="M53" i="7"/>
  <c r="M52" i="7"/>
  <c r="M18" i="7"/>
  <c r="M54" i="7"/>
  <c r="K47" i="7"/>
  <c r="K33" i="7"/>
  <c r="Y2" i="26"/>
  <c r="K20" i="26"/>
  <c r="K34" i="26"/>
  <c r="L27" i="27"/>
  <c r="AK19" i="27"/>
  <c r="AP44" i="27" s="1"/>
  <c r="AK18" i="27"/>
  <c r="AP35" i="27" s="1"/>
  <c r="AK47" i="27"/>
  <c r="AP48" i="27" s="1"/>
  <c r="AK46" i="27"/>
  <c r="AM46" i="27" s="1"/>
  <c r="AR39" i="27" s="1"/>
  <c r="AM53" i="27"/>
  <c r="AR40" i="27" s="1"/>
  <c r="AP40" i="27"/>
  <c r="M55" i="27"/>
  <c r="M41" i="27"/>
  <c r="K49" i="27"/>
  <c r="K28" i="27"/>
  <c r="AB7" i="8"/>
  <c r="X26" i="8"/>
  <c r="H5" i="11"/>
  <c r="AD58" i="27"/>
  <c r="AD28" i="27"/>
  <c r="S11" i="11"/>
  <c r="S20" i="11"/>
  <c r="S15" i="11"/>
  <c r="S16" i="11"/>
  <c r="S34" i="11"/>
  <c r="S18" i="11"/>
  <c r="S31" i="11"/>
  <c r="S28" i="11"/>
  <c r="S23" i="11"/>
  <c r="S13" i="11"/>
  <c r="S9" i="11"/>
  <c r="S21" i="11"/>
  <c r="S27" i="11"/>
  <c r="S24" i="11"/>
  <c r="S10" i="11"/>
  <c r="AF12" i="29"/>
  <c r="AE11" i="29"/>
  <c r="AH28" i="7"/>
  <c r="AK61" i="7"/>
  <c r="M8" i="7"/>
  <c r="M61" i="7"/>
  <c r="M24" i="7"/>
  <c r="M10" i="7"/>
  <c r="M60" i="7"/>
  <c r="M26" i="7"/>
  <c r="M59" i="7"/>
  <c r="L37" i="8"/>
  <c r="L27" i="8"/>
  <c r="K17" i="8"/>
  <c r="K53" i="8"/>
  <c r="L34" i="8"/>
  <c r="K24" i="8"/>
  <c r="K25" i="7"/>
  <c r="K26" i="7"/>
  <c r="L9" i="5"/>
  <c r="U2" i="7"/>
  <c r="AL53" i="8"/>
  <c r="AQ41" i="8" s="1"/>
  <c r="AL54" i="8"/>
  <c r="AQ50" i="8" s="1"/>
  <c r="K22" i="26"/>
  <c r="K29" i="26"/>
  <c r="K51" i="26"/>
  <c r="K30" i="26"/>
  <c r="K23" i="26"/>
  <c r="K25" i="26"/>
  <c r="K39" i="26"/>
  <c r="L37" i="26"/>
  <c r="S4" i="27"/>
  <c r="S4" i="26"/>
  <c r="M27" i="27"/>
  <c r="M48" i="27"/>
  <c r="L18" i="27"/>
  <c r="L25" i="27" s="1"/>
  <c r="L32" i="27" s="1"/>
  <c r="L39" i="27" s="1"/>
  <c r="L37" i="27"/>
  <c r="L9" i="8"/>
  <c r="G8" i="10"/>
  <c r="G9" i="10"/>
  <c r="G29" i="10" s="1"/>
  <c r="X17" i="8"/>
  <c r="AD11" i="7"/>
  <c r="AD57" i="7"/>
  <c r="P7" i="8"/>
  <c r="R7" i="8" s="1"/>
  <c r="R8" i="8" s="1"/>
  <c r="R9" i="8" s="1"/>
  <c r="R10" i="8" s="1"/>
  <c r="R11" i="8" s="1"/>
  <c r="R12" i="8" s="1"/>
  <c r="R13" i="8" s="1"/>
  <c r="R14" i="8" s="1"/>
  <c r="R15" i="8" s="1"/>
  <c r="R16" i="8" s="1"/>
  <c r="R17" i="8" s="1"/>
  <c r="R18" i="8" s="1"/>
  <c r="R19" i="8" s="1"/>
  <c r="R20" i="8" s="1"/>
  <c r="R21" i="8" s="1"/>
  <c r="R22" i="8" s="1"/>
  <c r="R23" i="8" s="1"/>
  <c r="R24" i="8" s="1"/>
  <c r="R25" i="8" s="1"/>
  <c r="R26" i="8" s="1"/>
  <c r="R27" i="8" s="1"/>
  <c r="R28" i="8" s="1"/>
  <c r="R29" i="8" s="1"/>
  <c r="R30" i="8" s="1"/>
  <c r="R31" i="8" s="1"/>
  <c r="R32" i="8" s="1"/>
  <c r="R33" i="8" s="1"/>
  <c r="R34" i="8" s="1"/>
  <c r="R35" i="8" s="1"/>
  <c r="R36" i="8" s="1"/>
  <c r="R37" i="8" s="1"/>
  <c r="R38" i="8" s="1"/>
  <c r="R39" i="8" s="1"/>
  <c r="R40" i="8" s="1"/>
  <c r="R41" i="8" s="1"/>
  <c r="R42" i="8" s="1"/>
  <c r="R43" i="8" s="1"/>
  <c r="R44" i="8" s="1"/>
  <c r="R45" i="8" s="1"/>
  <c r="R46" i="8" s="1"/>
  <c r="R47" i="8" s="1"/>
  <c r="R48" i="8" s="1"/>
  <c r="R49" i="8" s="1"/>
  <c r="R50" i="8" s="1"/>
  <c r="R51" i="8" s="1"/>
  <c r="R52" i="8" s="1"/>
  <c r="R53" i="8" s="1"/>
  <c r="R54" i="8" s="1"/>
  <c r="R55" i="8" s="1"/>
  <c r="R56" i="8" s="1"/>
  <c r="R57" i="8" s="1"/>
  <c r="R58" i="8" s="1"/>
  <c r="R59" i="8" s="1"/>
  <c r="R60" i="8" s="1"/>
  <c r="R61" i="8" s="1"/>
  <c r="P11" i="8"/>
  <c r="P15" i="8"/>
  <c r="B11" i="10" s="1"/>
  <c r="P18" i="8"/>
  <c r="P21" i="8"/>
  <c r="P24" i="8"/>
  <c r="P27" i="8"/>
  <c r="P31" i="8"/>
  <c r="P35" i="8"/>
  <c r="P39" i="8"/>
  <c r="P43" i="8"/>
  <c r="P47" i="8"/>
  <c r="P51" i="8"/>
  <c r="P55" i="8"/>
  <c r="P59" i="8"/>
  <c r="S6" i="11"/>
  <c r="AD52" i="27"/>
  <c r="AD8" i="27"/>
  <c r="AD13" i="27"/>
  <c r="AD25" i="27"/>
  <c r="AD37" i="27"/>
  <c r="AD49" i="27"/>
  <c r="AD61" i="27"/>
  <c r="AD16" i="27"/>
  <c r="AD31" i="27"/>
  <c r="AD46" i="27"/>
  <c r="H11" i="10"/>
  <c r="Q5" i="11" s="1"/>
  <c r="AD7" i="27"/>
  <c r="AD22" i="27"/>
  <c r="AD40" i="27"/>
  <c r="AD55" i="27"/>
  <c r="S26" i="11"/>
  <c r="R16" i="11"/>
  <c r="R15" i="11"/>
  <c r="R31" i="11"/>
  <c r="R29" i="11"/>
  <c r="R27" i="11"/>
  <c r="R25" i="11"/>
  <c r="R23" i="11"/>
  <c r="R20" i="11"/>
  <c r="R12" i="11"/>
  <c r="R9" i="11"/>
  <c r="R26" i="11"/>
  <c r="R19" i="11"/>
  <c r="R6" i="11"/>
  <c r="R8" i="11" s="1"/>
  <c r="R14" i="11"/>
  <c r="R30" i="11"/>
  <c r="R22" i="11"/>
  <c r="R17" i="11"/>
  <c r="R7" i="11"/>
  <c r="R4" i="11"/>
  <c r="S4" i="11"/>
  <c r="AK29" i="8"/>
  <c r="AK30" i="7"/>
  <c r="AM30" i="7" s="1"/>
  <c r="T12" i="29"/>
  <c r="S11" i="29"/>
  <c r="G53" i="29"/>
  <c r="H54" i="29"/>
  <c r="AH12" i="7"/>
  <c r="T27" i="29"/>
  <c r="S26" i="29"/>
  <c r="T41" i="29"/>
  <c r="T42" i="29" s="1"/>
  <c r="T43" i="29" s="1"/>
  <c r="AK43" i="8"/>
  <c r="L16" i="11"/>
  <c r="L11" i="11"/>
  <c r="L7" i="11"/>
  <c r="Z13" i="29"/>
  <c r="Y12" i="29"/>
  <c r="Z20" i="29"/>
  <c r="Y19" i="29"/>
  <c r="H40" i="29"/>
  <c r="G39" i="29"/>
  <c r="T48" i="29"/>
  <c r="S47" i="29"/>
  <c r="N10" i="7"/>
  <c r="N12" i="7" s="1"/>
  <c r="N10" i="5"/>
  <c r="N12" i="5" s="1"/>
  <c r="L23" i="7"/>
  <c r="L26" i="7" s="1"/>
  <c r="L33" i="7" s="1"/>
  <c r="L40" i="7" s="1"/>
  <c r="L47" i="7" s="1"/>
  <c r="L54" i="7" s="1"/>
  <c r="L37" i="7"/>
  <c r="H62" i="5"/>
  <c r="AP31" i="26"/>
  <c r="AM36" i="26"/>
  <c r="AR29" i="26" s="1"/>
  <c r="AK44" i="26"/>
  <c r="AM44" i="26" s="1"/>
  <c r="L30" i="26"/>
  <c r="AP32" i="27"/>
  <c r="L12" i="27"/>
  <c r="L44" i="27"/>
  <c r="L58" i="27"/>
  <c r="F22" i="10"/>
  <c r="F26" i="10"/>
  <c r="F19" i="10"/>
  <c r="I34" i="11"/>
  <c r="L30" i="11"/>
  <c r="L26" i="11"/>
  <c r="L22" i="11"/>
  <c r="L18" i="11"/>
  <c r="L13" i="11"/>
  <c r="L6" i="11"/>
  <c r="L8" i="11" s="1"/>
  <c r="L3" i="11" s="1"/>
  <c r="P16" i="11"/>
  <c r="P5" i="11"/>
  <c r="P8" i="11" s="1"/>
  <c r="P3" i="11" s="1"/>
  <c r="P10" i="11"/>
  <c r="P15" i="11"/>
  <c r="P20" i="11"/>
  <c r="P24" i="11"/>
  <c r="P28" i="11"/>
  <c r="T6" i="29"/>
  <c r="S5" i="29"/>
  <c r="G11" i="29"/>
  <c r="H33" i="29"/>
  <c r="G32" i="29"/>
  <c r="N41" i="29"/>
  <c r="M40" i="29"/>
  <c r="AF48" i="29"/>
  <c r="AE47" i="29"/>
  <c r="AF60" i="5"/>
  <c r="AF7" i="27"/>
  <c r="N41" i="8"/>
  <c r="N48" i="8"/>
  <c r="AF55" i="29"/>
  <c r="AE54" i="29"/>
  <c r="AD14" i="27"/>
  <c r="AK50" i="8"/>
  <c r="AK57" i="8"/>
  <c r="N33" i="29"/>
  <c r="M33" i="29" s="1"/>
  <c r="M32" i="29"/>
  <c r="S56" i="29"/>
  <c r="I61" i="7"/>
  <c r="I54" i="7"/>
  <c r="I40" i="7"/>
  <c r="AL29" i="7"/>
  <c r="I19" i="7"/>
  <c r="I9" i="7"/>
  <c r="I14" i="7"/>
  <c r="I18" i="7"/>
  <c r="I23" i="7"/>
  <c r="I28" i="7"/>
  <c r="I32" i="7"/>
  <c r="I37" i="7"/>
  <c r="I42" i="7"/>
  <c r="I46" i="7"/>
  <c r="I51" i="7"/>
  <c r="I56" i="7"/>
  <c r="I60" i="7"/>
  <c r="AL8" i="7"/>
  <c r="N28" i="27"/>
  <c r="N30" i="27" s="1"/>
  <c r="I40" i="27"/>
  <c r="I47" i="8"/>
  <c r="I54" i="27"/>
  <c r="AL57" i="8"/>
  <c r="AL57" i="26"/>
  <c r="N8" i="8"/>
  <c r="N11" i="8" s="1"/>
  <c r="M3" i="8"/>
  <c r="AH27" i="8" s="1"/>
  <c r="N21" i="7"/>
  <c r="N23" i="7" s="1"/>
  <c r="N27" i="7"/>
  <c r="N28" i="26"/>
  <c r="N30" i="26" s="1"/>
  <c r="N35" i="8"/>
  <c r="AF57" i="5"/>
  <c r="AF10" i="27"/>
  <c r="N48" i="27"/>
  <c r="N59" i="27"/>
  <c r="N34" i="7"/>
  <c r="N21" i="26"/>
  <c r="N23" i="26" s="1"/>
  <c r="N10" i="27"/>
  <c r="N12" i="27" s="1"/>
  <c r="N52" i="27"/>
  <c r="N35" i="26"/>
  <c r="N37" i="26" s="1"/>
  <c r="N28" i="7"/>
  <c r="N30" i="7" s="1"/>
  <c r="N21" i="5"/>
  <c r="N23" i="5" s="1"/>
  <c r="N52" i="5"/>
  <c r="N21" i="8"/>
  <c r="N35" i="27"/>
  <c r="N37" i="27" s="1"/>
  <c r="N35" i="5"/>
  <c r="N37" i="5" s="1"/>
  <c r="N28" i="8"/>
  <c r="N52" i="8"/>
  <c r="N14" i="27"/>
  <c r="N16" i="27" s="1"/>
  <c r="N17" i="5"/>
  <c r="N19" i="5" s="1"/>
  <c r="N35" i="7"/>
  <c r="N37" i="7" s="1"/>
  <c r="N7" i="27"/>
  <c r="N9" i="27" s="1"/>
  <c r="N17" i="7"/>
  <c r="N19" i="7" s="1"/>
  <c r="N52" i="26"/>
  <c r="AP38" i="5"/>
  <c r="AM39" i="5"/>
  <c r="AR38" i="5" s="1"/>
  <c r="AM39" i="7"/>
  <c r="AR38" i="7" s="1"/>
  <c r="AP38" i="7"/>
  <c r="AM25" i="8"/>
  <c r="AR37" i="8" s="1"/>
  <c r="AP37" i="8"/>
  <c r="AM60" i="7"/>
  <c r="AR41" i="7" s="1"/>
  <c r="AP41" i="7"/>
  <c r="AP36" i="8"/>
  <c r="AM18" i="8"/>
  <c r="AR36" i="8" s="1"/>
  <c r="AM33" i="7"/>
  <c r="AR46" i="7" s="1"/>
  <c r="AP46" i="7"/>
  <c r="AM18" i="5"/>
  <c r="AR35" i="5" s="1"/>
  <c r="AP35" i="5"/>
  <c r="AQ16" i="5"/>
  <c r="AL14" i="5"/>
  <c r="AM19" i="7"/>
  <c r="AR44" i="7" s="1"/>
  <c r="AP44" i="7"/>
  <c r="I33" i="11"/>
  <c r="AP34" i="7"/>
  <c r="AM11" i="7"/>
  <c r="AR34" i="7" s="1"/>
  <c r="AP48" i="7"/>
  <c r="AM47" i="7"/>
  <c r="AR48" i="7" s="1"/>
  <c r="AM11" i="8"/>
  <c r="AR35" i="8" s="1"/>
  <c r="AP35" i="8"/>
  <c r="AM32" i="5"/>
  <c r="AR37" i="5" s="1"/>
  <c r="AP37" i="5"/>
  <c r="AL47" i="8"/>
  <c r="AQ49" i="8" s="1"/>
  <c r="AP46" i="8"/>
  <c r="AK40" i="5"/>
  <c r="AM33" i="5"/>
  <c r="AR46" i="5" s="1"/>
  <c r="AK40" i="7"/>
  <c r="AQ7" i="5"/>
  <c r="AP49" i="7"/>
  <c r="K15" i="7"/>
  <c r="K50" i="7"/>
  <c r="K43" i="7"/>
  <c r="K29" i="7"/>
  <c r="K22" i="7"/>
  <c r="K57" i="7"/>
  <c r="AK12" i="8"/>
  <c r="AL40" i="5"/>
  <c r="AQ47" i="5" s="1"/>
  <c r="AL25" i="5"/>
  <c r="AQ36" i="5" s="1"/>
  <c r="AL11" i="5"/>
  <c r="AQ34" i="5" s="1"/>
  <c r="E28" i="10"/>
  <c r="E29" i="10" s="1"/>
  <c r="L37" i="5"/>
  <c r="L44" i="5"/>
  <c r="L58" i="5"/>
  <c r="AP45" i="8"/>
  <c r="AM54" i="5"/>
  <c r="AR49" i="5" s="1"/>
  <c r="AK47" i="5"/>
  <c r="AK12" i="7"/>
  <c r="L44" i="8"/>
  <c r="L32" i="5"/>
  <c r="L39" i="5" s="1"/>
  <c r="L46" i="5" s="1"/>
  <c r="L53" i="5" s="1"/>
  <c r="L60" i="5" s="1"/>
  <c r="L17" i="7"/>
  <c r="L24" i="7" s="1"/>
  <c r="L31" i="7" s="1"/>
  <c r="L38" i="7" s="1"/>
  <c r="L16" i="7"/>
  <c r="L19" i="7" s="1"/>
  <c r="L58" i="7"/>
  <c r="AL26" i="8"/>
  <c r="AQ46" i="8" s="1"/>
  <c r="AL25" i="8"/>
  <c r="AQ37" i="8" s="1"/>
  <c r="AM19" i="5"/>
  <c r="AR44" i="5" s="1"/>
  <c r="L51" i="8"/>
  <c r="L53" i="8"/>
  <c r="L60" i="8" s="1"/>
  <c r="L12" i="5"/>
  <c r="L19" i="5" s="1"/>
  <c r="L26" i="5" s="1"/>
  <c r="L33" i="5" s="1"/>
  <c r="L17" i="5"/>
  <c r="L24" i="5" s="1"/>
  <c r="L31" i="5" s="1"/>
  <c r="L38" i="5" s="1"/>
  <c r="L45" i="5" s="1"/>
  <c r="L52" i="5" s="1"/>
  <c r="L59" i="5" s="1"/>
  <c r="L25" i="5"/>
  <c r="M41" i="7"/>
  <c r="M13" i="7"/>
  <c r="M55" i="7"/>
  <c r="M27" i="7"/>
  <c r="M20" i="7"/>
  <c r="M48" i="7"/>
  <c r="L16" i="8"/>
  <c r="L45" i="7"/>
  <c r="L52" i="7" s="1"/>
  <c r="L59" i="7" s="1"/>
  <c r="K40" i="8"/>
  <c r="K33" i="8"/>
  <c r="K54" i="8"/>
  <c r="K61" i="8"/>
  <c r="K47" i="8"/>
  <c r="K26" i="8"/>
  <c r="K49" i="8"/>
  <c r="L20" i="7"/>
  <c r="K42" i="7"/>
  <c r="K35" i="7"/>
  <c r="K52" i="7"/>
  <c r="K31" i="8"/>
  <c r="L41" i="7"/>
  <c r="AL12" i="8"/>
  <c r="AQ44" i="8" s="1"/>
  <c r="AK39" i="26"/>
  <c r="L34" i="26"/>
  <c r="L55" i="26"/>
  <c r="L20" i="26"/>
  <c r="K45" i="7"/>
  <c r="K38" i="7"/>
  <c r="K41" i="8"/>
  <c r="K42" i="8"/>
  <c r="K38" i="8"/>
  <c r="AM46" i="26"/>
  <c r="AR39" i="26" s="1"/>
  <c r="AP39" i="26"/>
  <c r="M55" i="26"/>
  <c r="M13" i="26"/>
  <c r="M48" i="26"/>
  <c r="M41" i="26"/>
  <c r="M27" i="26"/>
  <c r="AP34" i="26"/>
  <c r="AM11" i="26"/>
  <c r="AR34" i="26" s="1"/>
  <c r="AP45" i="26"/>
  <c r="AM26" i="26"/>
  <c r="AR45" i="26" s="1"/>
  <c r="AP47" i="26"/>
  <c r="K59" i="26"/>
  <c r="K45" i="26"/>
  <c r="K13" i="8"/>
  <c r="K21" i="8"/>
  <c r="L34" i="7"/>
  <c r="K17" i="26"/>
  <c r="K24" i="26"/>
  <c r="AM18" i="26"/>
  <c r="AR35" i="26" s="1"/>
  <c r="AP36" i="26"/>
  <c r="AM25" i="26"/>
  <c r="AR36" i="26" s="1"/>
  <c r="K28" i="8"/>
  <c r="K59" i="7"/>
  <c r="L41" i="26"/>
  <c r="AP46" i="26"/>
  <c r="AM33" i="26"/>
  <c r="AR46" i="26" s="1"/>
  <c r="L48" i="26"/>
  <c r="AM47" i="26"/>
  <c r="AR48" i="26" s="1"/>
  <c r="AP48" i="26"/>
  <c r="L24" i="26"/>
  <c r="L31" i="26" s="1"/>
  <c r="L38" i="26" s="1"/>
  <c r="L45" i="26" s="1"/>
  <c r="K18" i="26"/>
  <c r="K48" i="26"/>
  <c r="L39" i="26"/>
  <c r="L16" i="26"/>
  <c r="L19" i="26" s="1"/>
  <c r="AM19" i="27"/>
  <c r="AR44" i="27" s="1"/>
  <c r="L23" i="26"/>
  <c r="L52" i="26"/>
  <c r="L59" i="26" s="1"/>
  <c r="L19" i="27"/>
  <c r="L26" i="27" s="1"/>
  <c r="L33" i="27" s="1"/>
  <c r="L40" i="27" s="1"/>
  <c r="L47" i="27" s="1"/>
  <c r="L54" i="27" s="1"/>
  <c r="L61" i="27" s="1"/>
  <c r="K13" i="26"/>
  <c r="K53" i="26"/>
  <c r="K60" i="26"/>
  <c r="L46" i="26"/>
  <c r="L53" i="26" s="1"/>
  <c r="L60" i="26" s="1"/>
  <c r="K27" i="26"/>
  <c r="K41" i="26"/>
  <c r="L44" i="26"/>
  <c r="L46" i="27"/>
  <c r="L53" i="27" s="1"/>
  <c r="L60" i="27" s="1"/>
  <c r="AL11" i="27"/>
  <c r="AQ34" i="27" s="1"/>
  <c r="AM18" i="27"/>
  <c r="AR35" i="27" s="1"/>
  <c r="AK32" i="27"/>
  <c r="AP39" i="27"/>
  <c r="L41" i="27"/>
  <c r="AM26" i="27"/>
  <c r="AR45" i="27" s="1"/>
  <c r="AM33" i="27"/>
  <c r="AR46" i="27" s="1"/>
  <c r="AM47" i="27"/>
  <c r="AR48" i="27" s="1"/>
  <c r="C33" i="10"/>
  <c r="C32" i="10"/>
  <c r="B33" i="10"/>
  <c r="D33" i="10" s="1"/>
  <c r="B32" i="10"/>
  <c r="D32" i="10" s="1"/>
  <c r="L48" i="27"/>
  <c r="L34" i="27"/>
  <c r="K53" i="27"/>
  <c r="K25" i="27"/>
  <c r="AK61" i="27"/>
  <c r="AK60" i="27"/>
  <c r="AM11" i="27"/>
  <c r="AR34" i="27" s="1"/>
  <c r="AM25" i="27"/>
  <c r="AR36" i="27" s="1"/>
  <c r="AM40" i="27"/>
  <c r="AR47" i="27" s="1"/>
  <c r="L17" i="27"/>
  <c r="L24" i="27" s="1"/>
  <c r="L31" i="27" s="1"/>
  <c r="L38" i="27" s="1"/>
  <c r="L45" i="27" s="1"/>
  <c r="L52" i="27" s="1"/>
  <c r="L59" i="27" s="1"/>
  <c r="AD26" i="8"/>
  <c r="K41" i="27"/>
  <c r="K27" i="27"/>
  <c r="AD18" i="26"/>
  <c r="AD24" i="26"/>
  <c r="AD30" i="26"/>
  <c r="AD36" i="26"/>
  <c r="AD42" i="26"/>
  <c r="AD48" i="26"/>
  <c r="AD54" i="26"/>
  <c r="AD60" i="26"/>
  <c r="X7" i="8"/>
  <c r="X10" i="8"/>
  <c r="X13" i="8"/>
  <c r="X29" i="8"/>
  <c r="X32" i="8"/>
  <c r="X35" i="8"/>
  <c r="X38" i="8"/>
  <c r="X41" i="8"/>
  <c r="X44" i="8"/>
  <c r="X47" i="8"/>
  <c r="X50" i="8"/>
  <c r="X53" i="8"/>
  <c r="X56" i="8"/>
  <c r="X59" i="8"/>
  <c r="AD7" i="26"/>
  <c r="AD13" i="26"/>
  <c r="AD19" i="26"/>
  <c r="AD25" i="26"/>
  <c r="AD31" i="26"/>
  <c r="AD37" i="26"/>
  <c r="AD43" i="26"/>
  <c r="AD49" i="26"/>
  <c r="AD55" i="26"/>
  <c r="AD61" i="26"/>
  <c r="X16" i="8"/>
  <c r="X19" i="8"/>
  <c r="X22" i="8"/>
  <c r="X25" i="8"/>
  <c r="AD8" i="26"/>
  <c r="AD14" i="26"/>
  <c r="AD20" i="26"/>
  <c r="AD26" i="26"/>
  <c r="AD32" i="26"/>
  <c r="AD38" i="26"/>
  <c r="AD44" i="26"/>
  <c r="AD50" i="26"/>
  <c r="AD56" i="26"/>
  <c r="AD9" i="26"/>
  <c r="AD15" i="26"/>
  <c r="AD21" i="26"/>
  <c r="AD27" i="26"/>
  <c r="AD33" i="26"/>
  <c r="AD39" i="26"/>
  <c r="AD45" i="26"/>
  <c r="AD51" i="26"/>
  <c r="AD57" i="26"/>
  <c r="X15" i="8"/>
  <c r="X18" i="8"/>
  <c r="X21" i="8"/>
  <c r="X24" i="8"/>
  <c r="X27" i="8"/>
  <c r="X8" i="8"/>
  <c r="X11" i="8"/>
  <c r="X14" i="8"/>
  <c r="X30" i="8"/>
  <c r="X33" i="8"/>
  <c r="X36" i="8"/>
  <c r="X39" i="8"/>
  <c r="X42" i="8"/>
  <c r="X45" i="8"/>
  <c r="X48" i="8"/>
  <c r="X51" i="8"/>
  <c r="X54" i="8"/>
  <c r="X57" i="8"/>
  <c r="X60" i="8"/>
  <c r="E24" i="11"/>
  <c r="G24" i="11" s="1"/>
  <c r="E14" i="11"/>
  <c r="E22" i="11"/>
  <c r="G22" i="11" s="1"/>
  <c r="E31" i="11"/>
  <c r="G31" i="11" s="1"/>
  <c r="E9" i="11"/>
  <c r="E18" i="11"/>
  <c r="E26" i="11"/>
  <c r="G26" i="11" s="1"/>
  <c r="Q34" i="11"/>
  <c r="E16" i="11"/>
  <c r="G16" i="11" s="1"/>
  <c r="E10" i="11"/>
  <c r="G10" i="11" s="1"/>
  <c r="E19" i="11"/>
  <c r="G19" i="11" s="1"/>
  <c r="E27" i="11"/>
  <c r="G27" i="11" s="1"/>
  <c r="B26" i="10"/>
  <c r="E17" i="11"/>
  <c r="G17" i="11" s="1"/>
  <c r="E11" i="11"/>
  <c r="G11" i="11" s="1"/>
  <c r="E20" i="11"/>
  <c r="G20" i="11" s="1"/>
  <c r="E28" i="11"/>
  <c r="N34" i="11"/>
  <c r="E5" i="11"/>
  <c r="E12" i="11"/>
  <c r="G12" i="11" s="1"/>
  <c r="E21" i="11"/>
  <c r="G21" i="11" s="1"/>
  <c r="K34" i="11"/>
  <c r="E29" i="11"/>
  <c r="G29" i="11" s="1"/>
  <c r="E6" i="11"/>
  <c r="E13" i="11"/>
  <c r="E23" i="11"/>
  <c r="G23" i="11" s="1"/>
  <c r="H34" i="11"/>
  <c r="E30" i="11"/>
  <c r="G30" i="11" s="1"/>
  <c r="E7" i="11"/>
  <c r="E15" i="11"/>
  <c r="E25" i="11"/>
  <c r="G25" i="11" s="1"/>
  <c r="N21" i="29"/>
  <c r="M20" i="29"/>
  <c r="M13" i="27"/>
  <c r="K26" i="27"/>
  <c r="K47" i="27"/>
  <c r="K54" i="27"/>
  <c r="X61" i="8"/>
  <c r="X58" i="8"/>
  <c r="X55" i="8"/>
  <c r="X52" i="8"/>
  <c r="X49" i="8"/>
  <c r="X46" i="8"/>
  <c r="X43" i="8"/>
  <c r="X40" i="8"/>
  <c r="X37" i="8"/>
  <c r="X34" i="8"/>
  <c r="X31" i="8"/>
  <c r="X28" i="8"/>
  <c r="AD54" i="7"/>
  <c r="AD30" i="7"/>
  <c r="M26" i="11"/>
  <c r="AD35" i="26"/>
  <c r="AD6" i="26"/>
  <c r="S8" i="11"/>
  <c r="M13" i="29"/>
  <c r="N14" i="29"/>
  <c r="L10" i="8"/>
  <c r="L12" i="8" s="1"/>
  <c r="H7" i="10"/>
  <c r="F28" i="10"/>
  <c r="F27" i="10"/>
  <c r="T13" i="8"/>
  <c r="AD13" i="8" s="1"/>
  <c r="T10" i="8"/>
  <c r="T7" i="8"/>
  <c r="AD7" i="8" s="1"/>
  <c r="E17" i="10"/>
  <c r="AD51" i="7"/>
  <c r="AD29" i="26"/>
  <c r="O16" i="11"/>
  <c r="O11" i="11"/>
  <c r="O5" i="11"/>
  <c r="O12" i="11"/>
  <c r="O19" i="11"/>
  <c r="O25" i="11"/>
  <c r="O31" i="11"/>
  <c r="G25" i="10"/>
  <c r="O6" i="11"/>
  <c r="O13" i="11"/>
  <c r="O20" i="11"/>
  <c r="O26" i="11"/>
  <c r="G22" i="10"/>
  <c r="O7" i="11"/>
  <c r="O14" i="11"/>
  <c r="O21" i="11"/>
  <c r="O27" i="11"/>
  <c r="O15" i="11"/>
  <c r="O22" i="11"/>
  <c r="O28" i="11"/>
  <c r="O9" i="11"/>
  <c r="O17" i="11"/>
  <c r="O23" i="11"/>
  <c r="O29" i="11"/>
  <c r="F13" i="10"/>
  <c r="K6" i="11" s="1"/>
  <c r="AD7" i="7"/>
  <c r="AD13" i="7"/>
  <c r="AD19" i="7"/>
  <c r="AD25" i="7"/>
  <c r="AD31" i="7"/>
  <c r="AD37" i="7"/>
  <c r="AD43" i="7"/>
  <c r="AD49" i="7"/>
  <c r="AD55" i="7"/>
  <c r="AD61" i="7"/>
  <c r="T6" i="8"/>
  <c r="V6" i="8" s="1"/>
  <c r="V7" i="8" s="1"/>
  <c r="T16" i="8"/>
  <c r="AD16" i="8" s="1"/>
  <c r="T19" i="8"/>
  <c r="AD19" i="8" s="1"/>
  <c r="T22" i="8"/>
  <c r="AD22" i="8" s="1"/>
  <c r="T25" i="8"/>
  <c r="AD8" i="7"/>
  <c r="AD14" i="7"/>
  <c r="AD20" i="7"/>
  <c r="AD26" i="7"/>
  <c r="AD32" i="7"/>
  <c r="AD38" i="7"/>
  <c r="AD44" i="7"/>
  <c r="AD50" i="7"/>
  <c r="AD56" i="7"/>
  <c r="T9" i="8"/>
  <c r="AD9" i="8" s="1"/>
  <c r="T12" i="8"/>
  <c r="T28" i="8"/>
  <c r="AD28" i="8" s="1"/>
  <c r="T31" i="8"/>
  <c r="AD31" i="8" s="1"/>
  <c r="T34" i="8"/>
  <c r="AD34" i="8" s="1"/>
  <c r="T37" i="8"/>
  <c r="AD37" i="8" s="1"/>
  <c r="T40" i="8"/>
  <c r="AD40" i="8" s="1"/>
  <c r="T43" i="8"/>
  <c r="T46" i="8"/>
  <c r="AD46" i="8" s="1"/>
  <c r="T49" i="8"/>
  <c r="AD49" i="8" s="1"/>
  <c r="T52" i="8"/>
  <c r="AD52" i="8" s="1"/>
  <c r="T55" i="8"/>
  <c r="AD55" i="8" s="1"/>
  <c r="T58" i="8"/>
  <c r="AD58" i="8" s="1"/>
  <c r="T61" i="8"/>
  <c r="AD61" i="8" s="1"/>
  <c r="AD9" i="7"/>
  <c r="AD15" i="7"/>
  <c r="AD21" i="7"/>
  <c r="AD27" i="7"/>
  <c r="AD33" i="7"/>
  <c r="AD39" i="7"/>
  <c r="AD10" i="7"/>
  <c r="AD16" i="7"/>
  <c r="AD22" i="7"/>
  <c r="AD28" i="7"/>
  <c r="AD34" i="7"/>
  <c r="AD40" i="7"/>
  <c r="AD46" i="7"/>
  <c r="AD52" i="7"/>
  <c r="AD58" i="7"/>
  <c r="T8" i="8"/>
  <c r="T11" i="8"/>
  <c r="AD11" i="8" s="1"/>
  <c r="T14" i="8"/>
  <c r="T30" i="8"/>
  <c r="AD30" i="8" s="1"/>
  <c r="T33" i="8"/>
  <c r="AD33" i="8" s="1"/>
  <c r="T36" i="8"/>
  <c r="AD36" i="8" s="1"/>
  <c r="T39" i="8"/>
  <c r="T42" i="8"/>
  <c r="AD42" i="8" s="1"/>
  <c r="T45" i="8"/>
  <c r="T48" i="8"/>
  <c r="AD48" i="8" s="1"/>
  <c r="T51" i="8"/>
  <c r="AD51" i="8" s="1"/>
  <c r="T54" i="8"/>
  <c r="AD54" i="8" s="1"/>
  <c r="T57" i="8"/>
  <c r="T60" i="8"/>
  <c r="AD60" i="8" s="1"/>
  <c r="AD35" i="7"/>
  <c r="AD41" i="7"/>
  <c r="AD47" i="7"/>
  <c r="AD53" i="7"/>
  <c r="AD59" i="7"/>
  <c r="T17" i="8"/>
  <c r="AD17" i="8" s="1"/>
  <c r="T20" i="8"/>
  <c r="AD20" i="8" s="1"/>
  <c r="T23" i="8"/>
  <c r="AD23" i="8" s="1"/>
  <c r="T26" i="8"/>
  <c r="AD59" i="26"/>
  <c r="AD23" i="26"/>
  <c r="M16" i="11"/>
  <c r="M7" i="11"/>
  <c r="M14" i="11"/>
  <c r="M21" i="11"/>
  <c r="M27" i="11"/>
  <c r="M15" i="11"/>
  <c r="M22" i="11"/>
  <c r="M28" i="11"/>
  <c r="M9" i="11"/>
  <c r="M17" i="11"/>
  <c r="M23" i="11"/>
  <c r="M29" i="11"/>
  <c r="M10" i="11"/>
  <c r="M18" i="11"/>
  <c r="M24" i="11"/>
  <c r="M30" i="11"/>
  <c r="M5" i="11"/>
  <c r="M8" i="11" s="1"/>
  <c r="M12" i="11"/>
  <c r="M19" i="11"/>
  <c r="M25" i="11"/>
  <c r="M31" i="11"/>
  <c r="N8" i="29"/>
  <c r="M7" i="29"/>
  <c r="T27" i="8"/>
  <c r="T24" i="8"/>
  <c r="AD24" i="8" s="1"/>
  <c r="T21" i="8"/>
  <c r="AD21" i="8" s="1"/>
  <c r="T18" i="8"/>
  <c r="AD18" i="8" s="1"/>
  <c r="T15" i="8"/>
  <c r="X12" i="8"/>
  <c r="X9" i="8"/>
  <c r="X6" i="8"/>
  <c r="Z6" i="8" s="1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Z21" i="8" s="1"/>
  <c r="Z22" i="8" s="1"/>
  <c r="Z23" i="8" s="1"/>
  <c r="Z24" i="8" s="1"/>
  <c r="Z25" i="8" s="1"/>
  <c r="Z26" i="8" s="1"/>
  <c r="Z27" i="8" s="1"/>
  <c r="Z28" i="8" s="1"/>
  <c r="Z29" i="8" s="1"/>
  <c r="Z30" i="8" s="1"/>
  <c r="Z31" i="8" s="1"/>
  <c r="Z32" i="8" s="1"/>
  <c r="Z33" i="8" s="1"/>
  <c r="Z34" i="8" s="1"/>
  <c r="Z35" i="8" s="1"/>
  <c r="Z36" i="8" s="1"/>
  <c r="Z37" i="8" s="1"/>
  <c r="Z38" i="8" s="1"/>
  <c r="Z39" i="8" s="1"/>
  <c r="Z40" i="8" s="1"/>
  <c r="Z41" i="8" s="1"/>
  <c r="Z42" i="8" s="1"/>
  <c r="Z43" i="8" s="1"/>
  <c r="Z44" i="8" s="1"/>
  <c r="Z45" i="8" s="1"/>
  <c r="Z46" i="8" s="1"/>
  <c r="Z47" i="8" s="1"/>
  <c r="Z48" i="8" s="1"/>
  <c r="Z49" i="8" s="1"/>
  <c r="Z50" i="8" s="1"/>
  <c r="Z51" i="8" s="1"/>
  <c r="Z52" i="8" s="1"/>
  <c r="Z53" i="8" s="1"/>
  <c r="Z54" i="8" s="1"/>
  <c r="Z55" i="8" s="1"/>
  <c r="Z56" i="8" s="1"/>
  <c r="Z57" i="8" s="1"/>
  <c r="Z58" i="8" s="1"/>
  <c r="Z59" i="8" s="1"/>
  <c r="Z60" i="8" s="1"/>
  <c r="Z61" i="8" s="1"/>
  <c r="F32" i="10"/>
  <c r="F33" i="10"/>
  <c r="AD45" i="7"/>
  <c r="AD12" i="7"/>
  <c r="M6" i="11"/>
  <c r="AD53" i="26"/>
  <c r="AD17" i="26"/>
  <c r="AA6" i="8"/>
  <c r="AL19" i="8"/>
  <c r="AQ45" i="8" s="1"/>
  <c r="AL18" i="8"/>
  <c r="AQ36" i="8" s="1"/>
  <c r="T59" i="8"/>
  <c r="T56" i="8"/>
  <c r="AD56" i="8" s="1"/>
  <c r="T53" i="8"/>
  <c r="T50" i="8"/>
  <c r="AD50" i="8" s="1"/>
  <c r="T47" i="8"/>
  <c r="AD47" i="8" s="1"/>
  <c r="T44" i="8"/>
  <c r="AD44" i="8" s="1"/>
  <c r="T41" i="8"/>
  <c r="T38" i="8"/>
  <c r="AD38" i="8" s="1"/>
  <c r="T35" i="8"/>
  <c r="AD35" i="8" s="1"/>
  <c r="T32" i="8"/>
  <c r="AD32" i="8" s="1"/>
  <c r="T29" i="8"/>
  <c r="AD60" i="7"/>
  <c r="AD42" i="7"/>
  <c r="AD6" i="7"/>
  <c r="K5" i="11"/>
  <c r="AD47" i="26"/>
  <c r="AD11" i="26"/>
  <c r="O4" i="11"/>
  <c r="AK36" i="8"/>
  <c r="M5" i="29"/>
  <c r="Z6" i="29"/>
  <c r="M12" i="29"/>
  <c r="T35" i="29"/>
  <c r="Z33" i="29"/>
  <c r="Y32" i="29"/>
  <c r="N48" i="29"/>
  <c r="M47" i="29"/>
  <c r="H55" i="29"/>
  <c r="G54" i="29"/>
  <c r="AD29" i="7"/>
  <c r="AD23" i="7"/>
  <c r="AD17" i="7"/>
  <c r="AD58" i="26"/>
  <c r="AD52" i="26"/>
  <c r="AD46" i="26"/>
  <c r="AD40" i="26"/>
  <c r="AD34" i="26"/>
  <c r="AD28" i="26"/>
  <c r="AD22" i="26"/>
  <c r="AD16" i="26"/>
  <c r="AD10" i="26"/>
  <c r="AD60" i="27"/>
  <c r="AD54" i="27"/>
  <c r="AD48" i="27"/>
  <c r="AD42" i="27"/>
  <c r="AD36" i="27"/>
  <c r="AD30" i="27"/>
  <c r="AD24" i="27"/>
  <c r="AD18" i="27"/>
  <c r="AD12" i="27"/>
  <c r="AD6" i="27"/>
  <c r="Z26" i="29"/>
  <c r="Y25" i="29"/>
  <c r="T44" i="29"/>
  <c r="S43" i="29"/>
  <c r="G7" i="10"/>
  <c r="G27" i="10"/>
  <c r="AD59" i="27"/>
  <c r="AD53" i="27"/>
  <c r="AD47" i="27"/>
  <c r="AD41" i="27"/>
  <c r="AD35" i="27"/>
  <c r="AD29" i="27"/>
  <c r="AD23" i="27"/>
  <c r="AD17" i="27"/>
  <c r="AD11" i="27"/>
  <c r="T19" i="29"/>
  <c r="S18" i="29"/>
  <c r="AF20" i="29"/>
  <c r="AE19" i="29"/>
  <c r="AF33" i="29"/>
  <c r="AE32" i="29"/>
  <c r="M4" i="11"/>
  <c r="M6" i="29"/>
  <c r="M19" i="29"/>
  <c r="H26" i="29"/>
  <c r="G25" i="29"/>
  <c r="T28" i="29"/>
  <c r="S27" i="29"/>
  <c r="N42" i="29"/>
  <c r="M41" i="29"/>
  <c r="AE41" i="29"/>
  <c r="AF42" i="29"/>
  <c r="AD57" i="27"/>
  <c r="AD51" i="27"/>
  <c r="AD45" i="27"/>
  <c r="AD39" i="27"/>
  <c r="AD33" i="27"/>
  <c r="AD27" i="27"/>
  <c r="AD21" i="27"/>
  <c r="AD15" i="27"/>
  <c r="AD9" i="27"/>
  <c r="Y4" i="29"/>
  <c r="AE6" i="29"/>
  <c r="AF7" i="29"/>
  <c r="H14" i="29"/>
  <c r="G13" i="29"/>
  <c r="AE12" i="29"/>
  <c r="AF13" i="29"/>
  <c r="AF27" i="29"/>
  <c r="AE26" i="29"/>
  <c r="S41" i="29"/>
  <c r="H47" i="29"/>
  <c r="G46" i="29"/>
  <c r="AD12" i="26"/>
  <c r="AD56" i="27"/>
  <c r="AD50" i="27"/>
  <c r="AD44" i="27"/>
  <c r="AD38" i="27"/>
  <c r="AD32" i="27"/>
  <c r="AD26" i="27"/>
  <c r="AD20" i="27"/>
  <c r="H6" i="29"/>
  <c r="G5" i="29"/>
  <c r="H20" i="29"/>
  <c r="G19" i="29"/>
  <c r="N34" i="29"/>
  <c r="S42" i="29"/>
  <c r="Z47" i="29"/>
  <c r="Y46" i="29"/>
  <c r="J12" i="27"/>
  <c r="AF11" i="27"/>
  <c r="AF9" i="27"/>
  <c r="AE39" i="29"/>
  <c r="J8" i="26"/>
  <c r="AF8" i="26" s="1"/>
  <c r="I12" i="7"/>
  <c r="AL22" i="27"/>
  <c r="I33" i="27"/>
  <c r="AL43" i="7"/>
  <c r="N7" i="5"/>
  <c r="N9" i="5" s="1"/>
  <c r="N14" i="5"/>
  <c r="N16" i="5" s="1"/>
  <c r="AH15" i="8"/>
  <c r="AH39" i="8"/>
  <c r="N33" i="27"/>
  <c r="N40" i="7"/>
  <c r="AL15" i="27"/>
  <c r="I26" i="27"/>
  <c r="AL36" i="7"/>
  <c r="I47" i="7"/>
  <c r="AL57" i="7"/>
  <c r="N14" i="7"/>
  <c r="N16" i="7" s="1"/>
  <c r="N32" i="26"/>
  <c r="N39" i="26" s="1"/>
  <c r="N46" i="26" s="1"/>
  <c r="N54" i="7"/>
  <c r="N60" i="7"/>
  <c r="AL57" i="27"/>
  <c r="AL50" i="27"/>
  <c r="N7" i="7"/>
  <c r="N9" i="7" s="1"/>
  <c r="N7" i="26"/>
  <c r="N9" i="26" s="1"/>
  <c r="N7" i="8"/>
  <c r="N9" i="8" s="1"/>
  <c r="N40" i="27"/>
  <c r="N32" i="27"/>
  <c r="N39" i="27" s="1"/>
  <c r="N46" i="27" s="1"/>
  <c r="N47" i="7"/>
  <c r="N61" i="7"/>
  <c r="I12" i="27"/>
  <c r="AL22" i="7"/>
  <c r="I33" i="7"/>
  <c r="AL43" i="27"/>
  <c r="N39" i="5"/>
  <c r="N46" i="5" s="1"/>
  <c r="N33" i="7"/>
  <c r="AL15" i="7"/>
  <c r="I26" i="7"/>
  <c r="AL36" i="27"/>
  <c r="I47" i="27"/>
  <c r="AL50" i="7"/>
  <c r="N24" i="8"/>
  <c r="N34" i="8"/>
  <c r="N27" i="27"/>
  <c r="N38" i="26"/>
  <c r="N40" i="26" s="1"/>
  <c r="G40" i="30"/>
  <c r="N42" i="7" s="1"/>
  <c r="N44" i="7" s="1"/>
  <c r="G48" i="30"/>
  <c r="N10" i="8"/>
  <c r="N12" i="8" s="1"/>
  <c r="N14" i="8"/>
  <c r="N17" i="8"/>
  <c r="N27" i="8"/>
  <c r="N20" i="27"/>
  <c r="N17" i="27"/>
  <c r="N19" i="27" s="1"/>
  <c r="N20" i="8"/>
  <c r="N55" i="27"/>
  <c r="AL8" i="26"/>
  <c r="AL15" i="26"/>
  <c r="AL22" i="26"/>
  <c r="AL29" i="26"/>
  <c r="AL36" i="26"/>
  <c r="AL43" i="26"/>
  <c r="AL50" i="26"/>
  <c r="N10" i="26"/>
  <c r="N12" i="26" s="1"/>
  <c r="N14" i="26"/>
  <c r="N16" i="26" s="1"/>
  <c r="N55" i="8"/>
  <c r="N21" i="27"/>
  <c r="N23" i="27" s="1"/>
  <c r="N56" i="7" l="1"/>
  <c r="N58" i="7" s="1"/>
  <c r="N56" i="8"/>
  <c r="N56" i="27"/>
  <c r="N58" i="27" s="1"/>
  <c r="N56" i="26"/>
  <c r="N58" i="26" s="1"/>
  <c r="L35" i="11"/>
  <c r="L33" i="11"/>
  <c r="G40" i="29"/>
  <c r="H41" i="29"/>
  <c r="Z14" i="29"/>
  <c r="Y13" i="29"/>
  <c r="T13" i="29"/>
  <c r="S12" i="29"/>
  <c r="J7" i="7"/>
  <c r="AG6" i="7"/>
  <c r="AP41" i="26"/>
  <c r="AM60" i="26"/>
  <c r="AR41" i="26" s="1"/>
  <c r="J3" i="11"/>
  <c r="N40" i="5"/>
  <c r="AH57" i="8"/>
  <c r="AH33" i="8"/>
  <c r="AH9" i="8"/>
  <c r="AD59" i="8"/>
  <c r="AD39" i="8"/>
  <c r="AD14" i="8"/>
  <c r="AI14" i="8" s="1"/>
  <c r="AD43" i="8"/>
  <c r="AP33" i="8"/>
  <c r="AM57" i="8"/>
  <c r="AR33" i="8" s="1"/>
  <c r="AK59" i="8"/>
  <c r="AM59" i="8"/>
  <c r="AF56" i="29"/>
  <c r="AE55" i="29"/>
  <c r="B25" i="10"/>
  <c r="C11" i="11"/>
  <c r="C25" i="11"/>
  <c r="C15" i="11"/>
  <c r="C28" i="11"/>
  <c r="C18" i="11"/>
  <c r="C26" i="11"/>
  <c r="B22" i="10"/>
  <c r="D22" i="10" s="1"/>
  <c r="B19" i="10"/>
  <c r="D19" i="10" s="1"/>
  <c r="C17" i="11"/>
  <c r="C9" i="11"/>
  <c r="C12" i="11"/>
  <c r="C13" i="11"/>
  <c r="C16" i="11"/>
  <c r="C22" i="11"/>
  <c r="C6" i="11"/>
  <c r="C34" i="11"/>
  <c r="C24" i="11"/>
  <c r="C31" i="11"/>
  <c r="C19" i="11"/>
  <c r="C30" i="11"/>
  <c r="C14" i="11"/>
  <c r="C29" i="11"/>
  <c r="C20" i="11"/>
  <c r="C7" i="11"/>
  <c r="C5" i="11"/>
  <c r="C8" i="11" s="1"/>
  <c r="C27" i="11"/>
  <c r="C23" i="11"/>
  <c r="C21" i="11"/>
  <c r="C10" i="11"/>
  <c r="AF7" i="7"/>
  <c r="AP44" i="26"/>
  <c r="AM19" i="26"/>
  <c r="AR44" i="26" s="1"/>
  <c r="AM61" i="26"/>
  <c r="AR50" i="26" s="1"/>
  <c r="AP50" i="26"/>
  <c r="AP37" i="26"/>
  <c r="AM32" i="26"/>
  <c r="AR37" i="26" s="1"/>
  <c r="AD25" i="8"/>
  <c r="AS25" i="8" s="1"/>
  <c r="AQ32" i="26"/>
  <c r="AL59" i="26"/>
  <c r="AQ28" i="7"/>
  <c r="AL31" i="7"/>
  <c r="AK58" i="8"/>
  <c r="AM58" i="8" s="1"/>
  <c r="AM50" i="8"/>
  <c r="AR32" i="8" s="1"/>
  <c r="AM52" i="8"/>
  <c r="AK52" i="8"/>
  <c r="AP32" i="8"/>
  <c r="S6" i="29"/>
  <c r="T7" i="29"/>
  <c r="S48" i="29"/>
  <c r="T49" i="29"/>
  <c r="Y20" i="29"/>
  <c r="Z21" i="29"/>
  <c r="AK30" i="8"/>
  <c r="AM30" i="8" s="1"/>
  <c r="AM29" i="8"/>
  <c r="AR29" i="8" s="1"/>
  <c r="AP29" i="8"/>
  <c r="AM31" i="8"/>
  <c r="AK31" i="8"/>
  <c r="R3" i="11"/>
  <c r="AP50" i="7"/>
  <c r="AM61" i="7"/>
  <c r="AR50" i="7" s="1"/>
  <c r="O10" i="11"/>
  <c r="O24" i="11"/>
  <c r="O30" i="11"/>
  <c r="O34" i="11"/>
  <c r="G19" i="10"/>
  <c r="O18" i="11"/>
  <c r="AM18" i="7"/>
  <c r="AR35" i="7" s="1"/>
  <c r="AP35" i="7"/>
  <c r="N27" i="29"/>
  <c r="M26" i="29"/>
  <c r="AH10" i="8"/>
  <c r="AH14" i="8"/>
  <c r="AH19" i="8"/>
  <c r="AH24" i="8"/>
  <c r="AH29" i="8"/>
  <c r="AH34" i="8"/>
  <c r="AH38" i="8"/>
  <c r="AH43" i="8"/>
  <c r="AH48" i="8"/>
  <c r="AH53" i="8"/>
  <c r="AH58" i="8"/>
  <c r="AH6" i="8"/>
  <c r="AH11" i="8"/>
  <c r="AH16" i="8"/>
  <c r="AH20" i="8"/>
  <c r="AH25" i="8"/>
  <c r="AH30" i="8"/>
  <c r="AH35" i="8"/>
  <c r="AH40" i="8"/>
  <c r="AH44" i="8"/>
  <c r="AH49" i="8"/>
  <c r="AH54" i="8"/>
  <c r="AH59" i="8"/>
  <c r="AH7" i="8"/>
  <c r="AH17" i="8"/>
  <c r="AH26" i="8"/>
  <c r="AH36" i="8"/>
  <c r="AH46" i="8"/>
  <c r="AH55" i="8"/>
  <c r="U2" i="8"/>
  <c r="Q25" i="11"/>
  <c r="Q20" i="11"/>
  <c r="Q14" i="11"/>
  <c r="N9" i="11"/>
  <c r="N12" i="11"/>
  <c r="N19" i="11"/>
  <c r="N23" i="11"/>
  <c r="N28" i="11"/>
  <c r="AH8" i="8"/>
  <c r="AH18" i="8"/>
  <c r="AH28" i="8"/>
  <c r="AH37" i="8"/>
  <c r="AH47" i="8"/>
  <c r="AH56" i="8"/>
  <c r="AH13" i="8"/>
  <c r="AH32" i="8"/>
  <c r="AH52" i="8"/>
  <c r="Q23" i="11"/>
  <c r="Q18" i="11"/>
  <c r="Q9" i="11"/>
  <c r="N10" i="11"/>
  <c r="N20" i="11"/>
  <c r="N26" i="11"/>
  <c r="K12" i="11"/>
  <c r="K19" i="11"/>
  <c r="K23" i="11"/>
  <c r="K28" i="11"/>
  <c r="H12" i="11"/>
  <c r="H19" i="11"/>
  <c r="H23" i="11"/>
  <c r="H28" i="11"/>
  <c r="AH22" i="8"/>
  <c r="AH41" i="8"/>
  <c r="AH60" i="8"/>
  <c r="AH23" i="8"/>
  <c r="AH42" i="8"/>
  <c r="AH61" i="8"/>
  <c r="Q27" i="11"/>
  <c r="Q21" i="11"/>
  <c r="Q12" i="11"/>
  <c r="Q19" i="11"/>
  <c r="N15" i="11"/>
  <c r="N25" i="11"/>
  <c r="K10" i="11"/>
  <c r="K20" i="11"/>
  <c r="K26" i="11"/>
  <c r="H14" i="11"/>
  <c r="H21" i="11"/>
  <c r="H27" i="11"/>
  <c r="M9" i="8"/>
  <c r="M11" i="8"/>
  <c r="M24" i="8"/>
  <c r="M39" i="8"/>
  <c r="M46" i="8"/>
  <c r="M47" i="8"/>
  <c r="M17" i="8"/>
  <c r="AH12" i="8"/>
  <c r="Q28" i="11"/>
  <c r="Q15" i="11"/>
  <c r="N18" i="11"/>
  <c r="N27" i="11"/>
  <c r="K14" i="11"/>
  <c r="K21" i="11"/>
  <c r="K27" i="11"/>
  <c r="H15" i="11"/>
  <c r="H22" i="11"/>
  <c r="M10" i="8"/>
  <c r="M7" i="8"/>
  <c r="M31" i="8"/>
  <c r="M38" i="8"/>
  <c r="M45" i="8"/>
  <c r="M53" i="8"/>
  <c r="M19" i="8"/>
  <c r="AH31" i="8"/>
  <c r="Q26" i="11"/>
  <c r="Q10" i="11"/>
  <c r="N21" i="11"/>
  <c r="K15" i="11"/>
  <c r="K22" i="11"/>
  <c r="H9" i="11"/>
  <c r="H18" i="11"/>
  <c r="H25" i="11"/>
  <c r="M12" i="8"/>
  <c r="M26" i="8"/>
  <c r="M33" i="8"/>
  <c r="M52" i="8"/>
  <c r="M60" i="8"/>
  <c r="M18" i="8"/>
  <c r="B3" i="10"/>
  <c r="N22" i="11"/>
  <c r="K9" i="11"/>
  <c r="H20" i="11"/>
  <c r="M32" i="8"/>
  <c r="M61" i="8"/>
  <c r="M25" i="8"/>
  <c r="AH50" i="8"/>
  <c r="Q22" i="11"/>
  <c r="K18" i="11"/>
  <c r="H26" i="11"/>
  <c r="M40" i="8"/>
  <c r="N14" i="11"/>
  <c r="H10" i="11"/>
  <c r="M54" i="8"/>
  <c r="K25" i="11"/>
  <c r="M8" i="8"/>
  <c r="M59" i="8"/>
  <c r="AL10" i="7"/>
  <c r="AL9" i="7"/>
  <c r="AQ25" i="7"/>
  <c r="P33" i="11"/>
  <c r="P35" i="11"/>
  <c r="AK51" i="8"/>
  <c r="AM51" i="8" s="1"/>
  <c r="AP31" i="8"/>
  <c r="AM45" i="8"/>
  <c r="AM43" i="8"/>
  <c r="AR31" i="8" s="1"/>
  <c r="AK45" i="8"/>
  <c r="F18" i="11"/>
  <c r="G18" i="11" s="1"/>
  <c r="AH51" i="8"/>
  <c r="M4" i="8"/>
  <c r="AH45" i="8"/>
  <c r="AH21" i="8"/>
  <c r="J6" i="8"/>
  <c r="B31" i="11"/>
  <c r="AD29" i="8"/>
  <c r="AU29" i="8" s="1"/>
  <c r="AD41" i="8"/>
  <c r="AD53" i="8"/>
  <c r="AD15" i="8"/>
  <c r="C13" i="10" s="1"/>
  <c r="AD27" i="8"/>
  <c r="AL30" i="8" s="1"/>
  <c r="AD57" i="8"/>
  <c r="AD45" i="8"/>
  <c r="AD8" i="8"/>
  <c r="AS8" i="8" s="1"/>
  <c r="AD12" i="8"/>
  <c r="AU12" i="8" s="1"/>
  <c r="AD10" i="8"/>
  <c r="S3" i="11"/>
  <c r="AL59" i="8"/>
  <c r="AQ33" i="8"/>
  <c r="AF49" i="29"/>
  <c r="AE48" i="29"/>
  <c r="H34" i="29"/>
  <c r="G33" i="29"/>
  <c r="F8" i="10"/>
  <c r="F7" i="10"/>
  <c r="F9" i="10"/>
  <c r="F29" i="10" s="1"/>
  <c r="AF6" i="7"/>
  <c r="Z55" i="29"/>
  <c r="Y54" i="29"/>
  <c r="AM46" i="7"/>
  <c r="AR39" i="7" s="1"/>
  <c r="AP39" i="7"/>
  <c r="Y40" i="29"/>
  <c r="Z41" i="29"/>
  <c r="AP41" i="5"/>
  <c r="AM60" i="5"/>
  <c r="AR41" i="5" s="1"/>
  <c r="AS27" i="8"/>
  <c r="AI30" i="8"/>
  <c r="AT8" i="8"/>
  <c r="AU8" i="8"/>
  <c r="AS16" i="8"/>
  <c r="AU16" i="8"/>
  <c r="AT16" i="8"/>
  <c r="AS10" i="8"/>
  <c r="AU10" i="8"/>
  <c r="AT10" i="8"/>
  <c r="AS44" i="8"/>
  <c r="AT44" i="8"/>
  <c r="AU44" i="8"/>
  <c r="AU36" i="8"/>
  <c r="AS36" i="8"/>
  <c r="AT36" i="8"/>
  <c r="AS52" i="8"/>
  <c r="AU52" i="8"/>
  <c r="AT52" i="8"/>
  <c r="AL37" i="8"/>
  <c r="AL34" i="8"/>
  <c r="AQ12" i="8" s="1"/>
  <c r="AS34" i="8"/>
  <c r="AU34" i="8"/>
  <c r="AI37" i="8"/>
  <c r="AT34" i="8"/>
  <c r="AI35" i="8"/>
  <c r="AS29" i="8"/>
  <c r="AS47" i="8"/>
  <c r="AU47" i="8"/>
  <c r="AT47" i="8"/>
  <c r="AT15" i="8"/>
  <c r="AU15" i="8"/>
  <c r="AS49" i="8"/>
  <c r="AT49" i="8"/>
  <c r="AU49" i="8"/>
  <c r="AS31" i="8"/>
  <c r="AT31" i="8"/>
  <c r="AU31" i="8"/>
  <c r="AT41" i="8"/>
  <c r="AL41" i="8"/>
  <c r="AQ13" i="8" s="1"/>
  <c r="AS41" i="8"/>
  <c r="AL44" i="8"/>
  <c r="AI44" i="8"/>
  <c r="AI42" i="8"/>
  <c r="AU41" i="8"/>
  <c r="AT57" i="8"/>
  <c r="AS57" i="8"/>
  <c r="AU57" i="8"/>
  <c r="AU32" i="8"/>
  <c r="AS32" i="8"/>
  <c r="AT32" i="8"/>
  <c r="AS50" i="8"/>
  <c r="AU50" i="8"/>
  <c r="AT50" i="8"/>
  <c r="AS18" i="8"/>
  <c r="AU18" i="8"/>
  <c r="AT18" i="8"/>
  <c r="AS23" i="8"/>
  <c r="AT23" i="8"/>
  <c r="AU23" i="8"/>
  <c r="AL48" i="8"/>
  <c r="AQ14" i="8" s="1"/>
  <c r="AU48" i="8"/>
  <c r="AL51" i="8"/>
  <c r="AS48" i="8"/>
  <c r="AI51" i="8"/>
  <c r="AI49" i="8"/>
  <c r="AT48" i="8"/>
  <c r="AU30" i="8"/>
  <c r="AS30" i="8"/>
  <c r="AT30" i="8"/>
  <c r="AS46" i="8"/>
  <c r="AU46" i="8"/>
  <c r="AT46" i="8"/>
  <c r="AS28" i="8"/>
  <c r="AU28" i="8"/>
  <c r="AT28" i="8"/>
  <c r="AT25" i="8"/>
  <c r="AS35" i="8"/>
  <c r="AU35" i="8"/>
  <c r="AT35" i="8"/>
  <c r="AS53" i="8"/>
  <c r="AT53" i="8"/>
  <c r="AU53" i="8"/>
  <c r="AU21" i="8"/>
  <c r="AS21" i="8"/>
  <c r="AT21" i="8"/>
  <c r="AU20" i="8"/>
  <c r="AL23" i="8"/>
  <c r="AS20" i="8"/>
  <c r="AT20" i="8"/>
  <c r="AI21" i="8"/>
  <c r="AT45" i="8"/>
  <c r="AS45" i="8"/>
  <c r="AU45" i="8"/>
  <c r="AS61" i="8"/>
  <c r="AT61" i="8"/>
  <c r="AU61" i="8"/>
  <c r="AS43" i="8"/>
  <c r="AU43" i="8"/>
  <c r="AT43" i="8"/>
  <c r="AT12" i="8"/>
  <c r="AS22" i="8"/>
  <c r="AT22" i="8"/>
  <c r="AU22" i="8"/>
  <c r="AS38" i="8"/>
  <c r="AU38" i="8"/>
  <c r="AT38" i="8"/>
  <c r="AT56" i="8"/>
  <c r="AS56" i="8"/>
  <c r="AU56" i="8"/>
  <c r="AT24" i="8"/>
  <c r="AS24" i="8"/>
  <c r="AU24" i="8"/>
  <c r="AS17" i="8"/>
  <c r="AT17" i="8"/>
  <c r="AU17" i="8"/>
  <c r="AU60" i="8"/>
  <c r="AS60" i="8"/>
  <c r="AT60" i="8"/>
  <c r="AU42" i="8"/>
  <c r="AS42" i="8"/>
  <c r="AT42" i="8"/>
  <c r="AT11" i="8"/>
  <c r="AS11" i="8"/>
  <c r="AU11" i="8"/>
  <c r="AS58" i="8"/>
  <c r="AU58" i="8"/>
  <c r="AT58" i="8"/>
  <c r="AT40" i="8"/>
  <c r="AS40" i="8"/>
  <c r="AU40" i="8"/>
  <c r="AS9" i="8"/>
  <c r="AU9" i="8"/>
  <c r="AT9" i="8"/>
  <c r="AS19" i="8"/>
  <c r="AT19" i="8"/>
  <c r="AU19" i="8"/>
  <c r="AL58" i="8"/>
  <c r="AS55" i="8"/>
  <c r="AT55" i="8"/>
  <c r="AL55" i="8"/>
  <c r="AQ15" i="8" s="1"/>
  <c r="AU55" i="8"/>
  <c r="AI58" i="8"/>
  <c r="AI56" i="8"/>
  <c r="AS59" i="8"/>
  <c r="AT59" i="8"/>
  <c r="AU59" i="8"/>
  <c r="AS39" i="8"/>
  <c r="AT39" i="8"/>
  <c r="AU39" i="8"/>
  <c r="AS37" i="8"/>
  <c r="AU37" i="8"/>
  <c r="AT37" i="8"/>
  <c r="AS54" i="8"/>
  <c r="AU54" i="8"/>
  <c r="AT54" i="8"/>
  <c r="AL13" i="8"/>
  <c r="AQ9" i="8" s="1"/>
  <c r="AS13" i="8"/>
  <c r="AU13" i="8"/>
  <c r="AT13" i="8"/>
  <c r="AL23" i="26"/>
  <c r="AL17" i="26"/>
  <c r="AQ26" i="26"/>
  <c r="AL41" i="27"/>
  <c r="AQ12" i="27" s="1"/>
  <c r="AI44" i="27"/>
  <c r="AI42" i="27"/>
  <c r="AE13" i="29"/>
  <c r="AF14" i="29"/>
  <c r="AL38" i="26"/>
  <c r="AL44" i="26"/>
  <c r="AQ29" i="26"/>
  <c r="AF43" i="29"/>
  <c r="AE42" i="29"/>
  <c r="Z34" i="29"/>
  <c r="Y33" i="29"/>
  <c r="N9" i="29"/>
  <c r="M8" i="29"/>
  <c r="V8" i="8"/>
  <c r="V9" i="8" s="1"/>
  <c r="V10" i="8" s="1"/>
  <c r="V11" i="8" s="1"/>
  <c r="V12" i="8" s="1"/>
  <c r="V13" i="8" s="1"/>
  <c r="V14" i="8" s="1"/>
  <c r="V15" i="8" s="1"/>
  <c r="V16" i="8" s="1"/>
  <c r="V17" i="8" s="1"/>
  <c r="V18" i="8" s="1"/>
  <c r="V19" i="8" s="1"/>
  <c r="V20" i="8" s="1"/>
  <c r="V21" i="8" s="1"/>
  <c r="V22" i="8" s="1"/>
  <c r="V23" i="8" s="1"/>
  <c r="V24" i="8" s="1"/>
  <c r="V25" i="8" s="1"/>
  <c r="V26" i="8" s="1"/>
  <c r="V27" i="8" s="1"/>
  <c r="V28" i="8" s="1"/>
  <c r="V29" i="8" s="1"/>
  <c r="V30" i="8" s="1"/>
  <c r="V31" i="8" s="1"/>
  <c r="V32" i="8" s="1"/>
  <c r="V33" i="8" s="1"/>
  <c r="V34" i="8" s="1"/>
  <c r="V35" i="8" s="1"/>
  <c r="V36" i="8" s="1"/>
  <c r="V37" i="8" s="1"/>
  <c r="V38" i="8" s="1"/>
  <c r="V39" i="8" s="1"/>
  <c r="V40" i="8" s="1"/>
  <c r="V41" i="8" s="1"/>
  <c r="V42" i="8" s="1"/>
  <c r="V43" i="8" s="1"/>
  <c r="V44" i="8" s="1"/>
  <c r="V45" i="8" s="1"/>
  <c r="V46" i="8" s="1"/>
  <c r="V47" i="8" s="1"/>
  <c r="V48" i="8" s="1"/>
  <c r="V49" i="8" s="1"/>
  <c r="V50" i="8" s="1"/>
  <c r="V51" i="8" s="1"/>
  <c r="V52" i="8" s="1"/>
  <c r="V53" i="8" s="1"/>
  <c r="V54" i="8" s="1"/>
  <c r="V55" i="8" s="1"/>
  <c r="V56" i="8" s="1"/>
  <c r="V57" i="8" s="1"/>
  <c r="V58" i="8" s="1"/>
  <c r="V59" i="8" s="1"/>
  <c r="V60" i="8" s="1"/>
  <c r="V61" i="8" s="1"/>
  <c r="B13" i="11"/>
  <c r="AL41" i="26"/>
  <c r="AQ12" i="26" s="1"/>
  <c r="AI44" i="26"/>
  <c r="AI42" i="26"/>
  <c r="AD6" i="8"/>
  <c r="AC6" i="8" s="1"/>
  <c r="AC7" i="8" s="1"/>
  <c r="AC8" i="8" s="1"/>
  <c r="AC9" i="8" s="1"/>
  <c r="AC10" i="8" s="1"/>
  <c r="AC11" i="8" s="1"/>
  <c r="AC12" i="8" s="1"/>
  <c r="AC13" i="8" s="1"/>
  <c r="AC14" i="8" s="1"/>
  <c r="AC15" i="8" s="1"/>
  <c r="AC16" i="8" s="1"/>
  <c r="AC17" i="8" s="1"/>
  <c r="AC18" i="8" s="1"/>
  <c r="AC19" i="8" s="1"/>
  <c r="AC20" i="8" s="1"/>
  <c r="AC21" i="8" s="1"/>
  <c r="AC22" i="8" s="1"/>
  <c r="AC23" i="8" s="1"/>
  <c r="AC24" i="8" s="1"/>
  <c r="AC25" i="8" s="1"/>
  <c r="AC26" i="8" s="1"/>
  <c r="AC27" i="8" s="1"/>
  <c r="AC28" i="8" s="1"/>
  <c r="AC29" i="8" s="1"/>
  <c r="AC30" i="8" s="1"/>
  <c r="AC31" i="8" s="1"/>
  <c r="AC32" i="8" s="1"/>
  <c r="AC33" i="8" s="1"/>
  <c r="AC34" i="8" s="1"/>
  <c r="AC35" i="8" s="1"/>
  <c r="AC36" i="8" s="1"/>
  <c r="AC37" i="8" s="1"/>
  <c r="AC38" i="8" s="1"/>
  <c r="AC39" i="8" s="1"/>
  <c r="AC40" i="8" s="1"/>
  <c r="AC41" i="8" s="1"/>
  <c r="AC42" i="8" s="1"/>
  <c r="AC43" i="8" s="1"/>
  <c r="AC44" i="8" s="1"/>
  <c r="AC45" i="8" s="1"/>
  <c r="AC46" i="8" s="1"/>
  <c r="AC47" i="8" s="1"/>
  <c r="AC48" i="8" s="1"/>
  <c r="AC49" i="8" s="1"/>
  <c r="AC50" i="8" s="1"/>
  <c r="AC51" i="8" s="1"/>
  <c r="AC52" i="8" s="1"/>
  <c r="AC53" i="8" s="1"/>
  <c r="AC54" i="8" s="1"/>
  <c r="AC55" i="8" s="1"/>
  <c r="AC56" i="8" s="1"/>
  <c r="AC57" i="8" s="1"/>
  <c r="AC58" i="8" s="1"/>
  <c r="AC59" i="8" s="1"/>
  <c r="AC60" i="8" s="1"/>
  <c r="AC61" i="8" s="1"/>
  <c r="L17" i="8"/>
  <c r="L24" i="8" s="1"/>
  <c r="L31" i="8" s="1"/>
  <c r="L38" i="8" s="1"/>
  <c r="L45" i="8" s="1"/>
  <c r="L52" i="8" s="1"/>
  <c r="L59" i="8" s="1"/>
  <c r="AQ27" i="27"/>
  <c r="AL24" i="27"/>
  <c r="AL30" i="27"/>
  <c r="N35" i="29"/>
  <c r="M34" i="29"/>
  <c r="H17" i="10"/>
  <c r="AL6" i="27"/>
  <c r="AE6" i="27"/>
  <c r="AE7" i="27" s="1"/>
  <c r="AE8" i="27" s="1"/>
  <c r="AE9" i="27" s="1"/>
  <c r="AE10" i="27" s="1"/>
  <c r="AE11" i="27" s="1"/>
  <c r="AE12" i="27" s="1"/>
  <c r="AE13" i="27" s="1"/>
  <c r="AE14" i="27" s="1"/>
  <c r="AE15" i="27" s="1"/>
  <c r="AE16" i="27" s="1"/>
  <c r="AE17" i="27" s="1"/>
  <c r="AE18" i="27" s="1"/>
  <c r="AE19" i="27" s="1"/>
  <c r="AE20" i="27" s="1"/>
  <c r="AE21" i="27" s="1"/>
  <c r="AE22" i="27" s="1"/>
  <c r="AE23" i="27" s="1"/>
  <c r="AE24" i="27" s="1"/>
  <c r="AE25" i="27" s="1"/>
  <c r="AE26" i="27" s="1"/>
  <c r="AE27" i="27" s="1"/>
  <c r="AE28" i="27" s="1"/>
  <c r="AE29" i="27" s="1"/>
  <c r="AE30" i="27" s="1"/>
  <c r="AE31" i="27" s="1"/>
  <c r="AE32" i="27" s="1"/>
  <c r="AE33" i="27" s="1"/>
  <c r="AE34" i="27" s="1"/>
  <c r="AE35" i="27" s="1"/>
  <c r="AE36" i="27" s="1"/>
  <c r="AE37" i="27" s="1"/>
  <c r="AE38" i="27" s="1"/>
  <c r="AE39" i="27" s="1"/>
  <c r="AE40" i="27" s="1"/>
  <c r="AE41" i="27" s="1"/>
  <c r="AE42" i="27" s="1"/>
  <c r="AE43" i="27" s="1"/>
  <c r="AE44" i="27" s="1"/>
  <c r="AE45" i="27" s="1"/>
  <c r="AE46" i="27" s="1"/>
  <c r="AE47" i="27" s="1"/>
  <c r="AE48" i="27" s="1"/>
  <c r="AE49" i="27" s="1"/>
  <c r="AE50" i="27" s="1"/>
  <c r="AE51" i="27" s="1"/>
  <c r="AE52" i="27" s="1"/>
  <c r="AE53" i="27" s="1"/>
  <c r="AE54" i="27" s="1"/>
  <c r="AE55" i="27" s="1"/>
  <c r="AE56" i="27" s="1"/>
  <c r="AE57" i="27" s="1"/>
  <c r="AE58" i="27" s="1"/>
  <c r="AE59" i="27" s="1"/>
  <c r="AE60" i="27" s="1"/>
  <c r="AE61" i="27" s="1"/>
  <c r="AI9" i="27"/>
  <c r="AI7" i="27"/>
  <c r="AC6" i="27"/>
  <c r="AC7" i="27" s="1"/>
  <c r="AC8" i="27" s="1"/>
  <c r="AC9" i="27" s="1"/>
  <c r="AC10" i="27" s="1"/>
  <c r="AC11" i="27" s="1"/>
  <c r="AC12" i="27" s="1"/>
  <c r="AC13" i="27" s="1"/>
  <c r="AC14" i="27" s="1"/>
  <c r="AC15" i="27" s="1"/>
  <c r="AC16" i="27" s="1"/>
  <c r="AC17" i="27" s="1"/>
  <c r="AC18" i="27" s="1"/>
  <c r="AC19" i="27" s="1"/>
  <c r="AC20" i="27" s="1"/>
  <c r="AC21" i="27" s="1"/>
  <c r="AC22" i="27" s="1"/>
  <c r="AC23" i="27" s="1"/>
  <c r="AC24" i="27" s="1"/>
  <c r="AC25" i="27" s="1"/>
  <c r="AC26" i="27" s="1"/>
  <c r="AC27" i="27" s="1"/>
  <c r="AC28" i="27" s="1"/>
  <c r="AC29" i="27" s="1"/>
  <c r="AC30" i="27" s="1"/>
  <c r="AC31" i="27" s="1"/>
  <c r="AC32" i="27" s="1"/>
  <c r="AC33" i="27" s="1"/>
  <c r="AC34" i="27" s="1"/>
  <c r="AC35" i="27" s="1"/>
  <c r="AC36" i="27" s="1"/>
  <c r="AC37" i="27" s="1"/>
  <c r="AC38" i="27" s="1"/>
  <c r="AC39" i="27" s="1"/>
  <c r="AC40" i="27" s="1"/>
  <c r="AC41" i="27" s="1"/>
  <c r="AC42" i="27" s="1"/>
  <c r="AC43" i="27" s="1"/>
  <c r="AC44" i="27" s="1"/>
  <c r="AC45" i="27" s="1"/>
  <c r="AC46" i="27" s="1"/>
  <c r="AC47" i="27" s="1"/>
  <c r="AC48" i="27" s="1"/>
  <c r="AC49" i="27" s="1"/>
  <c r="AC50" i="27" s="1"/>
  <c r="AC51" i="27" s="1"/>
  <c r="AC52" i="27" s="1"/>
  <c r="AC53" i="27" s="1"/>
  <c r="AC54" i="27" s="1"/>
  <c r="AC55" i="27" s="1"/>
  <c r="AC56" i="27" s="1"/>
  <c r="AC57" i="27" s="1"/>
  <c r="AC58" i="27" s="1"/>
  <c r="AC59" i="27" s="1"/>
  <c r="AC60" i="27" s="1"/>
  <c r="AC61" i="27" s="1"/>
  <c r="AL51" i="26"/>
  <c r="AL45" i="26"/>
  <c r="AQ30" i="26"/>
  <c r="AL52" i="7"/>
  <c r="AL58" i="7"/>
  <c r="AQ31" i="7"/>
  <c r="AE7" i="29"/>
  <c r="AF8" i="29"/>
  <c r="N53" i="5"/>
  <c r="N47" i="5"/>
  <c r="AL59" i="7"/>
  <c r="AQ32" i="7"/>
  <c r="J13" i="27"/>
  <c r="AF12" i="27"/>
  <c r="AK6" i="27"/>
  <c r="M16" i="27"/>
  <c r="M15" i="27"/>
  <c r="M14" i="27"/>
  <c r="AK7" i="27"/>
  <c r="AP16" i="27" s="1"/>
  <c r="AG12" i="27"/>
  <c r="AL27" i="27"/>
  <c r="AQ10" i="27" s="1"/>
  <c r="AI28" i="27"/>
  <c r="AI30" i="27"/>
  <c r="AF21" i="29"/>
  <c r="AE20" i="29"/>
  <c r="Y26" i="29"/>
  <c r="Z27" i="29"/>
  <c r="AL37" i="26"/>
  <c r="AQ28" i="26"/>
  <c r="AL31" i="26"/>
  <c r="N49" i="27"/>
  <c r="N51" i="27" s="1"/>
  <c r="N49" i="5"/>
  <c r="N51" i="5" s="1"/>
  <c r="N49" i="26"/>
  <c r="N51" i="26" s="1"/>
  <c r="N49" i="7"/>
  <c r="N51" i="7" s="1"/>
  <c r="N49" i="8"/>
  <c r="AL37" i="27"/>
  <c r="AL44" i="27"/>
  <c r="AQ29" i="27"/>
  <c r="AL38" i="27"/>
  <c r="AL45" i="27"/>
  <c r="AQ30" i="27"/>
  <c r="AL51" i="27"/>
  <c r="AQ30" i="7"/>
  <c r="AL45" i="7"/>
  <c r="AL51" i="7"/>
  <c r="G26" i="29"/>
  <c r="H27" i="29"/>
  <c r="T36" i="29"/>
  <c r="S35" i="29"/>
  <c r="AK37" i="8"/>
  <c r="AM37" i="8" s="1"/>
  <c r="AK44" i="8"/>
  <c r="AM44" i="8" s="1"/>
  <c r="AP30" i="8"/>
  <c r="AK38" i="8"/>
  <c r="AM38" i="8"/>
  <c r="AM36" i="8"/>
  <c r="AR30" i="8" s="1"/>
  <c r="S33" i="11"/>
  <c r="S35" i="11"/>
  <c r="B12" i="10"/>
  <c r="Q4" i="8" s="1"/>
  <c r="M21" i="29"/>
  <c r="N22" i="29"/>
  <c r="B17" i="11"/>
  <c r="B13" i="10"/>
  <c r="AM32" i="27"/>
  <c r="AR37" i="27" s="1"/>
  <c r="AP37" i="27"/>
  <c r="AP47" i="7"/>
  <c r="AM40" i="7"/>
  <c r="AR47" i="7" s="1"/>
  <c r="J9" i="26"/>
  <c r="AG8" i="26"/>
  <c r="AL24" i="26"/>
  <c r="AQ27" i="26"/>
  <c r="AL30" i="26"/>
  <c r="N42" i="5"/>
  <c r="N44" i="5" s="1"/>
  <c r="N42" i="26"/>
  <c r="N44" i="26" s="1"/>
  <c r="N42" i="8"/>
  <c r="N42" i="27"/>
  <c r="N44" i="27" s="1"/>
  <c r="N53" i="27"/>
  <c r="N47" i="27"/>
  <c r="N53" i="26"/>
  <c r="N47" i="26"/>
  <c r="AL38" i="7"/>
  <c r="AQ29" i="7"/>
  <c r="AL37" i="7"/>
  <c r="AL44" i="7"/>
  <c r="G20" i="29"/>
  <c r="H21" i="29"/>
  <c r="H48" i="29"/>
  <c r="G47" i="29"/>
  <c r="AE27" i="29"/>
  <c r="AF28" i="29"/>
  <c r="S19" i="29"/>
  <c r="T20" i="29"/>
  <c r="AL34" i="27"/>
  <c r="AQ11" i="27" s="1"/>
  <c r="AI37" i="27"/>
  <c r="AI35" i="27"/>
  <c r="H56" i="29"/>
  <c r="G55" i="29"/>
  <c r="F17" i="10"/>
  <c r="AE6" i="7"/>
  <c r="AE7" i="7" s="1"/>
  <c r="AE8" i="7" s="1"/>
  <c r="AE9" i="7" s="1"/>
  <c r="AE10" i="7" s="1"/>
  <c r="AE11" i="7" s="1"/>
  <c r="AE12" i="7" s="1"/>
  <c r="AE13" i="7" s="1"/>
  <c r="AE14" i="7" s="1"/>
  <c r="AE15" i="7" s="1"/>
  <c r="AE16" i="7" s="1"/>
  <c r="AE17" i="7" s="1"/>
  <c r="AE18" i="7" s="1"/>
  <c r="AE19" i="7" s="1"/>
  <c r="AE20" i="7" s="1"/>
  <c r="AE21" i="7" s="1"/>
  <c r="AE22" i="7" s="1"/>
  <c r="AE23" i="7" s="1"/>
  <c r="AE24" i="7" s="1"/>
  <c r="AE25" i="7" s="1"/>
  <c r="AE26" i="7" s="1"/>
  <c r="AE27" i="7" s="1"/>
  <c r="AE28" i="7" s="1"/>
  <c r="AE29" i="7" s="1"/>
  <c r="AE30" i="7" s="1"/>
  <c r="AE31" i="7" s="1"/>
  <c r="AE32" i="7" s="1"/>
  <c r="AE33" i="7" s="1"/>
  <c r="AE34" i="7" s="1"/>
  <c r="AE35" i="7" s="1"/>
  <c r="AE36" i="7" s="1"/>
  <c r="AE37" i="7" s="1"/>
  <c r="AE38" i="7" s="1"/>
  <c r="AE39" i="7" s="1"/>
  <c r="AE40" i="7" s="1"/>
  <c r="AE41" i="7" s="1"/>
  <c r="AE42" i="7" s="1"/>
  <c r="AE43" i="7" s="1"/>
  <c r="AE44" i="7" s="1"/>
  <c r="AE45" i="7" s="1"/>
  <c r="AE46" i="7" s="1"/>
  <c r="AE47" i="7" s="1"/>
  <c r="AE48" i="7" s="1"/>
  <c r="AE49" i="7" s="1"/>
  <c r="AE50" i="7" s="1"/>
  <c r="AE51" i="7" s="1"/>
  <c r="AE52" i="7" s="1"/>
  <c r="AE53" i="7" s="1"/>
  <c r="AE54" i="7" s="1"/>
  <c r="AE55" i="7" s="1"/>
  <c r="AE56" i="7" s="1"/>
  <c r="AE57" i="7" s="1"/>
  <c r="AE58" i="7" s="1"/>
  <c r="AE59" i="7" s="1"/>
  <c r="AE60" i="7" s="1"/>
  <c r="AE61" i="7" s="1"/>
  <c r="AL6" i="7"/>
  <c r="AC6" i="7"/>
  <c r="AC7" i="7" s="1"/>
  <c r="AC8" i="7" s="1"/>
  <c r="AC9" i="7" s="1"/>
  <c r="AC10" i="7" s="1"/>
  <c r="AC11" i="7" s="1"/>
  <c r="AC12" i="7" s="1"/>
  <c r="AC13" i="7" s="1"/>
  <c r="AC14" i="7" s="1"/>
  <c r="AC15" i="7" s="1"/>
  <c r="AC16" i="7" s="1"/>
  <c r="AC17" i="7" s="1"/>
  <c r="AC18" i="7" s="1"/>
  <c r="AC19" i="7" s="1"/>
  <c r="AC20" i="7" s="1"/>
  <c r="AC21" i="7" s="1"/>
  <c r="AC22" i="7" s="1"/>
  <c r="AC23" i="7" s="1"/>
  <c r="AC24" i="7" s="1"/>
  <c r="AC25" i="7" s="1"/>
  <c r="AC26" i="7" s="1"/>
  <c r="AC27" i="7" s="1"/>
  <c r="AC28" i="7" s="1"/>
  <c r="AC29" i="7" s="1"/>
  <c r="AC30" i="7" s="1"/>
  <c r="AC31" i="7" s="1"/>
  <c r="AC32" i="7" s="1"/>
  <c r="AC33" i="7" s="1"/>
  <c r="AC34" i="7" s="1"/>
  <c r="AC35" i="7" s="1"/>
  <c r="AC36" i="7" s="1"/>
  <c r="AC37" i="7" s="1"/>
  <c r="AC38" i="7" s="1"/>
  <c r="AC39" i="7" s="1"/>
  <c r="AC40" i="7" s="1"/>
  <c r="AC41" i="7" s="1"/>
  <c r="AC42" i="7" s="1"/>
  <c r="AC43" i="7" s="1"/>
  <c r="AC44" i="7" s="1"/>
  <c r="AC45" i="7" s="1"/>
  <c r="AC46" i="7" s="1"/>
  <c r="AC47" i="7" s="1"/>
  <c r="AC48" i="7" s="1"/>
  <c r="AC49" i="7" s="1"/>
  <c r="AC50" i="7" s="1"/>
  <c r="AC51" i="7" s="1"/>
  <c r="AC52" i="7" s="1"/>
  <c r="AC53" i="7" s="1"/>
  <c r="AC54" i="7" s="1"/>
  <c r="AC55" i="7" s="1"/>
  <c r="AC56" i="7" s="1"/>
  <c r="AC57" i="7" s="1"/>
  <c r="AC58" i="7" s="1"/>
  <c r="AC59" i="7" s="1"/>
  <c r="AC60" i="7" s="1"/>
  <c r="AC61" i="7" s="1"/>
  <c r="AI9" i="7"/>
  <c r="AI7" i="7"/>
  <c r="AL41" i="7"/>
  <c r="AQ12" i="7" s="1"/>
  <c r="AI44" i="7"/>
  <c r="AI42" i="7"/>
  <c r="AL55" i="7"/>
  <c r="AQ14" i="7" s="1"/>
  <c r="AI56" i="7"/>
  <c r="AI58" i="7"/>
  <c r="E18" i="10"/>
  <c r="E15" i="10"/>
  <c r="H7" i="11" s="1"/>
  <c r="H8" i="11" s="1"/>
  <c r="G17" i="10"/>
  <c r="AE6" i="26"/>
  <c r="AE7" i="26" s="1"/>
  <c r="AE8" i="26" s="1"/>
  <c r="AE9" i="26" s="1"/>
  <c r="AE10" i="26" s="1"/>
  <c r="AE11" i="26" s="1"/>
  <c r="AE12" i="26" s="1"/>
  <c r="AE13" i="26" s="1"/>
  <c r="AE14" i="26" s="1"/>
  <c r="AE15" i="26" s="1"/>
  <c r="AE16" i="26" s="1"/>
  <c r="AE17" i="26" s="1"/>
  <c r="AE18" i="26" s="1"/>
  <c r="AE19" i="26" s="1"/>
  <c r="AE20" i="26" s="1"/>
  <c r="AE21" i="26" s="1"/>
  <c r="AE22" i="26" s="1"/>
  <c r="AE23" i="26" s="1"/>
  <c r="AE24" i="26" s="1"/>
  <c r="AE25" i="26" s="1"/>
  <c r="AE26" i="26" s="1"/>
  <c r="AE27" i="26" s="1"/>
  <c r="AE28" i="26" s="1"/>
  <c r="AE29" i="26" s="1"/>
  <c r="AE30" i="26" s="1"/>
  <c r="AE31" i="26" s="1"/>
  <c r="AE32" i="26" s="1"/>
  <c r="AE33" i="26" s="1"/>
  <c r="AE34" i="26" s="1"/>
  <c r="AE35" i="26" s="1"/>
  <c r="AE36" i="26" s="1"/>
  <c r="AE37" i="26" s="1"/>
  <c r="AE38" i="26" s="1"/>
  <c r="AE39" i="26" s="1"/>
  <c r="AE40" i="26" s="1"/>
  <c r="AE41" i="26" s="1"/>
  <c r="AE42" i="26" s="1"/>
  <c r="AE43" i="26" s="1"/>
  <c r="AE44" i="26" s="1"/>
  <c r="AE45" i="26" s="1"/>
  <c r="AE46" i="26" s="1"/>
  <c r="AE47" i="26" s="1"/>
  <c r="AE48" i="26" s="1"/>
  <c r="AE49" i="26" s="1"/>
  <c r="AE50" i="26" s="1"/>
  <c r="AE51" i="26" s="1"/>
  <c r="AE52" i="26" s="1"/>
  <c r="AE53" i="26" s="1"/>
  <c r="AE54" i="26" s="1"/>
  <c r="AE55" i="26" s="1"/>
  <c r="AE56" i="26" s="1"/>
  <c r="AE57" i="26" s="1"/>
  <c r="AE58" i="26" s="1"/>
  <c r="AE59" i="26" s="1"/>
  <c r="AE60" i="26" s="1"/>
  <c r="AE61" i="26" s="1"/>
  <c r="AL6" i="26"/>
  <c r="AC6" i="26"/>
  <c r="AC7" i="26" s="1"/>
  <c r="AC8" i="26" s="1"/>
  <c r="AC9" i="26" s="1"/>
  <c r="AC10" i="26" s="1"/>
  <c r="AC11" i="26" s="1"/>
  <c r="AC12" i="26" s="1"/>
  <c r="AC13" i="26" s="1"/>
  <c r="AC14" i="26" s="1"/>
  <c r="AC15" i="26" s="1"/>
  <c r="AC16" i="26" s="1"/>
  <c r="AC17" i="26" s="1"/>
  <c r="AC18" i="26" s="1"/>
  <c r="AC19" i="26" s="1"/>
  <c r="AC20" i="26" s="1"/>
  <c r="AC21" i="26" s="1"/>
  <c r="AC22" i="26" s="1"/>
  <c r="AC23" i="26" s="1"/>
  <c r="AC24" i="26" s="1"/>
  <c r="AC25" i="26" s="1"/>
  <c r="AC26" i="26" s="1"/>
  <c r="AC27" i="26" s="1"/>
  <c r="AC28" i="26" s="1"/>
  <c r="AC29" i="26" s="1"/>
  <c r="AC30" i="26" s="1"/>
  <c r="AC31" i="26" s="1"/>
  <c r="AC32" i="26" s="1"/>
  <c r="AC33" i="26" s="1"/>
  <c r="AC34" i="26" s="1"/>
  <c r="AC35" i="26" s="1"/>
  <c r="AC36" i="26" s="1"/>
  <c r="AC37" i="26" s="1"/>
  <c r="AC38" i="26" s="1"/>
  <c r="AC39" i="26" s="1"/>
  <c r="AC40" i="26" s="1"/>
  <c r="AC41" i="26" s="1"/>
  <c r="AC42" i="26" s="1"/>
  <c r="AC43" i="26" s="1"/>
  <c r="AC44" i="26" s="1"/>
  <c r="AC45" i="26" s="1"/>
  <c r="AC46" i="26" s="1"/>
  <c r="AC47" i="26" s="1"/>
  <c r="AC48" i="26" s="1"/>
  <c r="AC49" i="26" s="1"/>
  <c r="AC50" i="26" s="1"/>
  <c r="AC51" i="26" s="1"/>
  <c r="AC52" i="26" s="1"/>
  <c r="AC53" i="26" s="1"/>
  <c r="AC54" i="26" s="1"/>
  <c r="AC55" i="26" s="1"/>
  <c r="AC56" i="26" s="1"/>
  <c r="AC57" i="26" s="1"/>
  <c r="AC58" i="26" s="1"/>
  <c r="AC59" i="26" s="1"/>
  <c r="AC60" i="26" s="1"/>
  <c r="AC61" i="26" s="1"/>
  <c r="AI9" i="26"/>
  <c r="AI7" i="26"/>
  <c r="B16" i="11"/>
  <c r="B24" i="11"/>
  <c r="AL20" i="26"/>
  <c r="AQ9" i="26" s="1"/>
  <c r="AI21" i="26"/>
  <c r="AI23" i="26"/>
  <c r="AP41" i="27"/>
  <c r="AM60" i="27"/>
  <c r="AR41" i="27" s="1"/>
  <c r="AL30" i="7"/>
  <c r="AL24" i="7"/>
  <c r="AQ27" i="7"/>
  <c r="AI51" i="7"/>
  <c r="AL48" i="7"/>
  <c r="AQ13" i="7" s="1"/>
  <c r="AI49" i="7"/>
  <c r="AL13" i="7"/>
  <c r="AQ8" i="7" s="1"/>
  <c r="AI16" i="7"/>
  <c r="AI14" i="7"/>
  <c r="O8" i="11"/>
  <c r="O3" i="11" s="1"/>
  <c r="AS7" i="8"/>
  <c r="AU7" i="8"/>
  <c r="AT7" i="8"/>
  <c r="B30" i="11"/>
  <c r="E8" i="11"/>
  <c r="B27" i="10"/>
  <c r="D27" i="10" s="1"/>
  <c r="B28" i="10"/>
  <c r="D26" i="10"/>
  <c r="AS51" i="8"/>
  <c r="AT51" i="8"/>
  <c r="AU51" i="8"/>
  <c r="AS33" i="8"/>
  <c r="AU33" i="8"/>
  <c r="AT33" i="8"/>
  <c r="AS26" i="8"/>
  <c r="AT26" i="8"/>
  <c r="AU26" i="8"/>
  <c r="AM61" i="27"/>
  <c r="AR50" i="27" s="1"/>
  <c r="AP50" i="27"/>
  <c r="AP44" i="8"/>
  <c r="AM12" i="8"/>
  <c r="AR44" i="8" s="1"/>
  <c r="AM40" i="5"/>
  <c r="AR47" i="5" s="1"/>
  <c r="AP47" i="5"/>
  <c r="AL21" i="5"/>
  <c r="AQ17" i="5"/>
  <c r="AL52" i="26"/>
  <c r="AL58" i="26"/>
  <c r="AQ31" i="26"/>
  <c r="AL16" i="26"/>
  <c r="AL10" i="26"/>
  <c r="AQ25" i="26"/>
  <c r="AL9" i="26"/>
  <c r="AL59" i="27"/>
  <c r="AQ32" i="27"/>
  <c r="AQ26" i="27"/>
  <c r="AL17" i="27"/>
  <c r="AL16" i="27"/>
  <c r="AL23" i="27"/>
  <c r="J7" i="8"/>
  <c r="AF6" i="8"/>
  <c r="AG6" i="8"/>
  <c r="G6" i="29"/>
  <c r="H7" i="29"/>
  <c r="G14" i="29"/>
  <c r="H15" i="29"/>
  <c r="AI16" i="27"/>
  <c r="AL13" i="27"/>
  <c r="AQ8" i="27" s="1"/>
  <c r="AI14" i="27"/>
  <c r="AF34" i="29"/>
  <c r="AE33" i="29"/>
  <c r="S44" i="29"/>
  <c r="S45" i="29"/>
  <c r="AL48" i="27"/>
  <c r="AQ13" i="27" s="1"/>
  <c r="AI51" i="27"/>
  <c r="AI49" i="27"/>
  <c r="N49" i="29"/>
  <c r="M48" i="29"/>
  <c r="B29" i="11"/>
  <c r="AL34" i="7"/>
  <c r="AQ11" i="7" s="1"/>
  <c r="AI35" i="7"/>
  <c r="AI37" i="7"/>
  <c r="B11" i="11"/>
  <c r="AL27" i="26"/>
  <c r="AQ10" i="26" s="1"/>
  <c r="AI28" i="26"/>
  <c r="AI30" i="26"/>
  <c r="AL55" i="26"/>
  <c r="AQ14" i="26" s="1"/>
  <c r="AI58" i="26"/>
  <c r="AI56" i="26"/>
  <c r="L26" i="26"/>
  <c r="L33" i="26" s="1"/>
  <c r="L40" i="26" s="1"/>
  <c r="AP43" i="7"/>
  <c r="AM12" i="7"/>
  <c r="AR43" i="7" s="1"/>
  <c r="L40" i="5"/>
  <c r="L47" i="5" s="1"/>
  <c r="L54" i="5" s="1"/>
  <c r="L61" i="5" s="1"/>
  <c r="AL17" i="7"/>
  <c r="AL23" i="7"/>
  <c r="AL16" i="7"/>
  <c r="AQ26" i="7"/>
  <c r="AL52" i="27"/>
  <c r="AQ31" i="27"/>
  <c r="AL58" i="27"/>
  <c r="Y47" i="29"/>
  <c r="Z48" i="29"/>
  <c r="N43" i="29"/>
  <c r="M42" i="29"/>
  <c r="AL20" i="27"/>
  <c r="AQ9" i="27" s="1"/>
  <c r="AI21" i="27"/>
  <c r="AI23" i="27"/>
  <c r="AL55" i="27"/>
  <c r="AQ14" i="27" s="1"/>
  <c r="AI58" i="27"/>
  <c r="AI56" i="27"/>
  <c r="S28" i="29"/>
  <c r="T29" i="29"/>
  <c r="AL34" i="26"/>
  <c r="AQ11" i="26" s="1"/>
  <c r="AI37" i="26"/>
  <c r="AI35" i="26"/>
  <c r="Z7" i="29"/>
  <c r="Y6" i="29"/>
  <c r="M3" i="11"/>
  <c r="AL27" i="7"/>
  <c r="AQ10" i="7" s="1"/>
  <c r="AI30" i="7"/>
  <c r="AI28" i="7"/>
  <c r="AL20" i="7"/>
  <c r="AQ9" i="7" s="1"/>
  <c r="AI21" i="7"/>
  <c r="AI23" i="7"/>
  <c r="N15" i="29"/>
  <c r="M14" i="29"/>
  <c r="AL13" i="26"/>
  <c r="AQ8" i="26" s="1"/>
  <c r="AI14" i="26"/>
  <c r="AI16" i="26"/>
  <c r="AL48" i="26"/>
  <c r="AQ13" i="26" s="1"/>
  <c r="AI51" i="26"/>
  <c r="AI49" i="26"/>
  <c r="L47" i="26"/>
  <c r="L54" i="26" s="1"/>
  <c r="L61" i="26" s="1"/>
  <c r="AP38" i="26"/>
  <c r="AM39" i="26"/>
  <c r="AR38" i="26" s="1"/>
  <c r="L19" i="8"/>
  <c r="L26" i="8" s="1"/>
  <c r="L33" i="8" s="1"/>
  <c r="L40" i="8" s="1"/>
  <c r="L47" i="8" s="1"/>
  <c r="L54" i="8" s="1"/>
  <c r="L61" i="8" s="1"/>
  <c r="L61" i="7"/>
  <c r="AP48" i="5"/>
  <c r="AM47" i="5"/>
  <c r="AR48" i="5" s="1"/>
  <c r="AF57" i="29" l="1"/>
  <c r="AE56" i="29"/>
  <c r="H3" i="11"/>
  <c r="AI16" i="8"/>
  <c r="AS12" i="8"/>
  <c r="AI23" i="8"/>
  <c r="AU25" i="8"/>
  <c r="AT29" i="8"/>
  <c r="AI28" i="8"/>
  <c r="AL27" i="8"/>
  <c r="AQ11" i="8" s="1"/>
  <c r="Z56" i="29"/>
  <c r="Y55" i="29"/>
  <c r="H35" i="29"/>
  <c r="G34" i="29"/>
  <c r="AL60" i="8"/>
  <c r="AQ42" i="8" s="1"/>
  <c r="AL61" i="8"/>
  <c r="AQ51" i="8" s="1"/>
  <c r="AL12" i="7"/>
  <c r="AQ43" i="7" s="1"/>
  <c r="AL11" i="7"/>
  <c r="AQ34" i="7" s="1"/>
  <c r="AL61" i="26"/>
  <c r="AQ50" i="26" s="1"/>
  <c r="AL60" i="26"/>
  <c r="AQ41" i="26" s="1"/>
  <c r="C3" i="11"/>
  <c r="Z22" i="29"/>
  <c r="Y21" i="29"/>
  <c r="H42" i="29"/>
  <c r="G41" i="29"/>
  <c r="AT14" i="8"/>
  <c r="AS14" i="8"/>
  <c r="AL20" i="8"/>
  <c r="AQ10" i="8" s="1"/>
  <c r="C15" i="10"/>
  <c r="AS15" i="8"/>
  <c r="AT27" i="8"/>
  <c r="R35" i="11"/>
  <c r="R33" i="11"/>
  <c r="T50" i="29"/>
  <c r="S49" i="29"/>
  <c r="AK60" i="8"/>
  <c r="AK61" i="8"/>
  <c r="Z42" i="29"/>
  <c r="Y41" i="29"/>
  <c r="AK46" i="8"/>
  <c r="AK47" i="8"/>
  <c r="T8" i="29"/>
  <c r="S7" i="29"/>
  <c r="S13" i="29"/>
  <c r="T14" i="29"/>
  <c r="AU14" i="8"/>
  <c r="B5" i="11"/>
  <c r="AU27" i="8"/>
  <c r="AE49" i="29"/>
  <c r="AF50" i="29"/>
  <c r="F15" i="11"/>
  <c r="G15" i="11" s="1"/>
  <c r="B7" i="10"/>
  <c r="B9" i="10"/>
  <c r="D9" i="10" s="1"/>
  <c r="B8" i="10"/>
  <c r="D3" i="10"/>
  <c r="F28" i="11"/>
  <c r="G28" i="11" s="1"/>
  <c r="F14" i="11"/>
  <c r="G14" i="11" s="1"/>
  <c r="F9" i="11"/>
  <c r="G9" i="11" s="1"/>
  <c r="M27" i="29"/>
  <c r="N28" i="29"/>
  <c r="AK33" i="8"/>
  <c r="AK32" i="8"/>
  <c r="AK53" i="8"/>
  <c r="AK54" i="8"/>
  <c r="AL33" i="7"/>
  <c r="AQ46" i="7" s="1"/>
  <c r="AL32" i="7"/>
  <c r="AQ37" i="7" s="1"/>
  <c r="J35" i="11"/>
  <c r="J33" i="11"/>
  <c r="J8" i="7"/>
  <c r="AG7" i="7"/>
  <c r="Z15" i="29"/>
  <c r="Y14" i="29"/>
  <c r="AQ18" i="5"/>
  <c r="AL28" i="5"/>
  <c r="B29" i="10"/>
  <c r="D29" i="10" s="1"/>
  <c r="D28" i="10"/>
  <c r="F18" i="10"/>
  <c r="F15" i="10"/>
  <c r="K7" i="11" s="1"/>
  <c r="K8" i="11" s="1"/>
  <c r="K3" i="11" s="1"/>
  <c r="T21" i="29"/>
  <c r="S20" i="29"/>
  <c r="G21" i="29"/>
  <c r="H22" i="29"/>
  <c r="AL25" i="26"/>
  <c r="AQ36" i="26" s="1"/>
  <c r="AL26" i="26"/>
  <c r="AQ45" i="26" s="1"/>
  <c r="M22" i="29"/>
  <c r="N23" i="29"/>
  <c r="G27" i="29"/>
  <c r="H28" i="29"/>
  <c r="AL40" i="27"/>
  <c r="AQ47" i="27" s="1"/>
  <c r="AL39" i="27"/>
  <c r="AQ38" i="27" s="1"/>
  <c r="Y27" i="29"/>
  <c r="Z28" i="29"/>
  <c r="H8" i="29"/>
  <c r="G7" i="29"/>
  <c r="J8" i="8"/>
  <c r="AF7" i="8"/>
  <c r="AG7" i="8"/>
  <c r="AL25" i="7"/>
  <c r="AQ36" i="7" s="1"/>
  <c r="AL26" i="7"/>
  <c r="AQ45" i="7" s="1"/>
  <c r="AL39" i="7"/>
  <c r="AQ38" i="7" s="1"/>
  <c r="AL40" i="7"/>
  <c r="AQ47" i="7" s="1"/>
  <c r="AL60" i="7"/>
  <c r="AQ41" i="7" s="1"/>
  <c r="AL61" i="7"/>
  <c r="AQ50" i="7" s="1"/>
  <c r="N36" i="29"/>
  <c r="M35" i="29"/>
  <c r="C11" i="10"/>
  <c r="B17" i="10"/>
  <c r="AL6" i="8"/>
  <c r="AE6" i="8"/>
  <c r="AE7" i="8" s="1"/>
  <c r="AE8" i="8" s="1"/>
  <c r="AE9" i="8" s="1"/>
  <c r="AE10" i="8" s="1"/>
  <c r="AE11" i="8" s="1"/>
  <c r="AE12" i="8" s="1"/>
  <c r="AE13" i="8" s="1"/>
  <c r="AE14" i="8" s="1"/>
  <c r="AE15" i="8" s="1"/>
  <c r="AE16" i="8" s="1"/>
  <c r="AE17" i="8" s="1"/>
  <c r="AE18" i="8" s="1"/>
  <c r="AE19" i="8" s="1"/>
  <c r="AE20" i="8" s="1"/>
  <c r="AE21" i="8" s="1"/>
  <c r="AE22" i="8" s="1"/>
  <c r="AE23" i="8" s="1"/>
  <c r="AE24" i="8" s="1"/>
  <c r="AE25" i="8" s="1"/>
  <c r="AE26" i="8" s="1"/>
  <c r="AE27" i="8" s="1"/>
  <c r="AE28" i="8" s="1"/>
  <c r="AE29" i="8" s="1"/>
  <c r="AE30" i="8" s="1"/>
  <c r="AE31" i="8" s="1"/>
  <c r="AE32" i="8" s="1"/>
  <c r="AE33" i="8" s="1"/>
  <c r="AE34" i="8" s="1"/>
  <c r="AE35" i="8" s="1"/>
  <c r="AE36" i="8" s="1"/>
  <c r="AE37" i="8" s="1"/>
  <c r="AE38" i="8" s="1"/>
  <c r="AE39" i="8" s="1"/>
  <c r="AE40" i="8" s="1"/>
  <c r="AE41" i="8" s="1"/>
  <c r="AE42" i="8" s="1"/>
  <c r="AE43" i="8" s="1"/>
  <c r="AE44" i="8" s="1"/>
  <c r="AE45" i="8" s="1"/>
  <c r="AE46" i="8" s="1"/>
  <c r="AE47" i="8" s="1"/>
  <c r="AE48" i="8" s="1"/>
  <c r="AE49" i="8" s="1"/>
  <c r="AE50" i="8" s="1"/>
  <c r="AE51" i="8" s="1"/>
  <c r="AE52" i="8" s="1"/>
  <c r="AE53" i="8" s="1"/>
  <c r="AE54" i="8" s="1"/>
  <c r="AE55" i="8" s="1"/>
  <c r="AE56" i="8" s="1"/>
  <c r="AE57" i="8" s="1"/>
  <c r="AE58" i="8" s="1"/>
  <c r="AE59" i="8" s="1"/>
  <c r="AE60" i="8" s="1"/>
  <c r="AE61" i="8" s="1"/>
  <c r="AT6" i="8"/>
  <c r="AS6" i="8"/>
  <c r="AU6" i="8"/>
  <c r="AI7" i="8"/>
  <c r="AI9" i="8"/>
  <c r="AF44" i="29"/>
  <c r="AE43" i="29"/>
  <c r="H16" i="29"/>
  <c r="G15" i="29"/>
  <c r="Y7" i="29"/>
  <c r="Z8" i="29"/>
  <c r="AL54" i="27"/>
  <c r="AQ49" i="27" s="1"/>
  <c r="AL53" i="27"/>
  <c r="AQ40" i="27" s="1"/>
  <c r="AL61" i="27"/>
  <c r="AQ50" i="27" s="1"/>
  <c r="AL60" i="27"/>
  <c r="AQ41" i="27" s="1"/>
  <c r="O35" i="11"/>
  <c r="O33" i="11"/>
  <c r="AL7" i="26"/>
  <c r="AQ7" i="26"/>
  <c r="G56" i="29"/>
  <c r="H57" i="29"/>
  <c r="AE28" i="29"/>
  <c r="AF29" i="29"/>
  <c r="J10" i="26"/>
  <c r="AF9" i="26"/>
  <c r="AG9" i="26"/>
  <c r="AM6" i="27"/>
  <c r="AR7" i="27" s="1"/>
  <c r="AM7" i="27"/>
  <c r="AR16" i="27" s="1"/>
  <c r="AP7" i="27"/>
  <c r="AL53" i="7"/>
  <c r="AQ40" i="7" s="1"/>
  <c r="AL54" i="7"/>
  <c r="AQ49" i="7" s="1"/>
  <c r="M9" i="29"/>
  <c r="M10" i="29"/>
  <c r="AL40" i="26"/>
  <c r="AQ47" i="26" s="1"/>
  <c r="AL39" i="26"/>
  <c r="AQ38" i="26" s="1"/>
  <c r="N60" i="26"/>
  <c r="N61" i="26" s="1"/>
  <c r="N54" i="26"/>
  <c r="T37" i="29"/>
  <c r="S36" i="29"/>
  <c r="AL33" i="26"/>
  <c r="AQ46" i="26" s="1"/>
  <c r="AL32" i="26"/>
  <c r="AQ37" i="26" s="1"/>
  <c r="AE21" i="29"/>
  <c r="AF22" i="29"/>
  <c r="N60" i="5"/>
  <c r="N61" i="5" s="1"/>
  <c r="N54" i="5"/>
  <c r="AL25" i="27"/>
  <c r="AQ36" i="27" s="1"/>
  <c r="AL26" i="27"/>
  <c r="AQ45" i="27" s="1"/>
  <c r="AF15" i="29"/>
  <c r="AE14" i="29"/>
  <c r="M43" i="29"/>
  <c r="N44" i="29"/>
  <c r="E3" i="11"/>
  <c r="Y48" i="29"/>
  <c r="Z49" i="29"/>
  <c r="M49" i="29"/>
  <c r="N50" i="29"/>
  <c r="AL53" i="26"/>
  <c r="AQ40" i="26" s="1"/>
  <c r="AL54" i="26"/>
  <c r="AQ49" i="26" s="1"/>
  <c r="G15" i="10"/>
  <c r="N7" i="11" s="1"/>
  <c r="N8" i="11" s="1"/>
  <c r="N3" i="11" s="1"/>
  <c r="G18" i="10"/>
  <c r="AL7" i="7"/>
  <c r="AQ7" i="7"/>
  <c r="B14" i="10"/>
  <c r="U4" i="8" s="1"/>
  <c r="D13" i="10"/>
  <c r="AK39" i="8"/>
  <c r="AK40" i="8"/>
  <c r="J14" i="27"/>
  <c r="AG13" i="27"/>
  <c r="AF13" i="27"/>
  <c r="AE8" i="29"/>
  <c r="AF9" i="29"/>
  <c r="AL47" i="26"/>
  <c r="AQ48" i="26" s="1"/>
  <c r="AL46" i="26"/>
  <c r="AQ39" i="26" s="1"/>
  <c r="AL7" i="27"/>
  <c r="AQ7" i="27"/>
  <c r="M15" i="29"/>
  <c r="N16" i="29"/>
  <c r="AE34" i="29"/>
  <c r="AF35" i="29"/>
  <c r="AL18" i="27"/>
  <c r="AQ35" i="27" s="1"/>
  <c r="AL19" i="27"/>
  <c r="AQ44" i="27" s="1"/>
  <c r="H35" i="11"/>
  <c r="H33" i="11"/>
  <c r="G48" i="29"/>
  <c r="H49" i="29"/>
  <c r="N60" i="27"/>
  <c r="N61" i="27" s="1"/>
  <c r="N54" i="27"/>
  <c r="AL47" i="7"/>
  <c r="AQ48" i="7" s="1"/>
  <c r="AL46" i="7"/>
  <c r="AQ39" i="7" s="1"/>
  <c r="AL46" i="27"/>
  <c r="AQ39" i="27" s="1"/>
  <c r="AL47" i="27"/>
  <c r="AQ48" i="27" s="1"/>
  <c r="H15" i="10"/>
  <c r="Q7" i="11" s="1"/>
  <c r="Q8" i="11" s="1"/>
  <c r="Q3" i="11" s="1"/>
  <c r="H18" i="10"/>
  <c r="Y34" i="29"/>
  <c r="Z35" i="29"/>
  <c r="M33" i="11"/>
  <c r="M35" i="11"/>
  <c r="S29" i="29"/>
  <c r="T30" i="29"/>
  <c r="AL18" i="7"/>
  <c r="AQ35" i="7" s="1"/>
  <c r="AL19" i="7"/>
  <c r="AQ44" i="7" s="1"/>
  <c r="AL11" i="26"/>
  <c r="AQ34" i="26" s="1"/>
  <c r="AL12" i="26"/>
  <c r="AQ43" i="26" s="1"/>
  <c r="AL19" i="26"/>
  <c r="AQ44" i="26" s="1"/>
  <c r="AL18" i="26"/>
  <c r="AQ35" i="26" s="1"/>
  <c r="AM54" i="8" l="1"/>
  <c r="AR50" i="8" s="1"/>
  <c r="AP50" i="8"/>
  <c r="N29" i="29"/>
  <c r="M28" i="29"/>
  <c r="AP40" i="8"/>
  <c r="AM46" i="8"/>
  <c r="AR40" i="8" s="1"/>
  <c r="AM60" i="8"/>
  <c r="AR42" i="8" s="1"/>
  <c r="AP42" i="8"/>
  <c r="H43" i="29"/>
  <c r="G42" i="29"/>
  <c r="Z16" i="29"/>
  <c r="Y15" i="29"/>
  <c r="AP41" i="8"/>
  <c r="AM53" i="8"/>
  <c r="AR41" i="8" s="1"/>
  <c r="Z57" i="29"/>
  <c r="Y56" i="29"/>
  <c r="AP38" i="8"/>
  <c r="AM32" i="8"/>
  <c r="AR38" i="8" s="1"/>
  <c r="AF51" i="29"/>
  <c r="AE50" i="29"/>
  <c r="S8" i="29"/>
  <c r="T9" i="29"/>
  <c r="Z43" i="29"/>
  <c r="Y42" i="29"/>
  <c r="S50" i="29"/>
  <c r="T51" i="29"/>
  <c r="Y22" i="29"/>
  <c r="Z23" i="29"/>
  <c r="J9" i="7"/>
  <c r="AG8" i="7"/>
  <c r="AF8" i="7"/>
  <c r="AP47" i="8"/>
  <c r="AM33" i="8"/>
  <c r="AR47" i="8" s="1"/>
  <c r="S14" i="29"/>
  <c r="T15" i="29"/>
  <c r="AM47" i="8"/>
  <c r="AR49" i="8" s="1"/>
  <c r="AP49" i="8"/>
  <c r="AP51" i="8"/>
  <c r="AM61" i="8"/>
  <c r="AR51" i="8" s="1"/>
  <c r="C33" i="11"/>
  <c r="C35" i="11"/>
  <c r="G35" i="29"/>
  <c r="H36" i="29"/>
  <c r="AF58" i="29"/>
  <c r="AE57" i="29"/>
  <c r="G49" i="29"/>
  <c r="H50" i="29"/>
  <c r="AF36" i="29"/>
  <c r="AE35" i="29"/>
  <c r="J15" i="27"/>
  <c r="AF14" i="27"/>
  <c r="AG14" i="27"/>
  <c r="AF16" i="29"/>
  <c r="AE15" i="29"/>
  <c r="AE44" i="29"/>
  <c r="AE45" i="29"/>
  <c r="AL7" i="8"/>
  <c r="AQ8" i="8"/>
  <c r="Y35" i="29"/>
  <c r="Z36" i="29"/>
  <c r="M17" i="29"/>
  <c r="M16" i="29"/>
  <c r="AE10" i="29"/>
  <c r="AE9" i="29"/>
  <c r="AM40" i="8"/>
  <c r="AR48" i="8" s="1"/>
  <c r="AP48" i="8"/>
  <c r="AL14" i="7"/>
  <c r="AQ16" i="7"/>
  <c r="B18" i="10"/>
  <c r="B15" i="10"/>
  <c r="K33" i="11"/>
  <c r="K35" i="11"/>
  <c r="AM39" i="8"/>
  <c r="AR39" i="8" s="1"/>
  <c r="AP39" i="8"/>
  <c r="Y49" i="29"/>
  <c r="Z50" i="29"/>
  <c r="M45" i="29"/>
  <c r="M44" i="29"/>
  <c r="J11" i="26"/>
  <c r="AG10" i="26"/>
  <c r="AF10" i="26"/>
  <c r="AL14" i="26"/>
  <c r="AQ16" i="26"/>
  <c r="C17" i="10"/>
  <c r="C18" i="10" s="1"/>
  <c r="D18" i="10" s="1"/>
  <c r="D11" i="10"/>
  <c r="J9" i="8"/>
  <c r="AG8" i="8"/>
  <c r="AF8" i="8"/>
  <c r="S38" i="29"/>
  <c r="S37" i="29"/>
  <c r="AF30" i="29"/>
  <c r="AE29" i="29"/>
  <c r="Z9" i="29"/>
  <c r="Y8" i="29"/>
  <c r="H29" i="29"/>
  <c r="G28" i="29"/>
  <c r="H23" i="29"/>
  <c r="G22" i="29"/>
  <c r="Q33" i="11"/>
  <c r="Q35" i="11"/>
  <c r="AL14" i="27"/>
  <c r="AQ16" i="27"/>
  <c r="B6" i="11"/>
  <c r="AF23" i="29"/>
  <c r="AE22" i="29"/>
  <c r="M36" i="29"/>
  <c r="N37" i="29"/>
  <c r="G8" i="29"/>
  <c r="H9" i="29"/>
  <c r="N33" i="11"/>
  <c r="N35" i="11"/>
  <c r="Z29" i="29"/>
  <c r="Y28" i="29"/>
  <c r="M24" i="29"/>
  <c r="M23" i="29"/>
  <c r="AL35" i="5"/>
  <c r="AQ19" i="5"/>
  <c r="S31" i="29"/>
  <c r="S30" i="29"/>
  <c r="D11" i="11"/>
  <c r="E35" i="11"/>
  <c r="D7" i="11"/>
  <c r="D15" i="11"/>
  <c r="D21" i="11"/>
  <c r="D27" i="11"/>
  <c r="D5" i="11"/>
  <c r="D12" i="11"/>
  <c r="D18" i="11"/>
  <c r="D24" i="11"/>
  <c r="D30" i="11"/>
  <c r="D20" i="11"/>
  <c r="D34" i="11"/>
  <c r="E33" i="11"/>
  <c r="D13" i="11"/>
  <c r="D19" i="11"/>
  <c r="D25" i="11"/>
  <c r="D31" i="11"/>
  <c r="D6" i="11"/>
  <c r="D14" i="11"/>
  <c r="D26" i="11"/>
  <c r="D16" i="11"/>
  <c r="D22" i="11"/>
  <c r="D17" i="11"/>
  <c r="D9" i="11"/>
  <c r="D28" i="11"/>
  <c r="D10" i="11"/>
  <c r="D29" i="11"/>
  <c r="D23" i="11"/>
  <c r="G57" i="29"/>
  <c r="H58" i="29"/>
  <c r="N51" i="29"/>
  <c r="M50" i="29"/>
  <c r="G16" i="29"/>
  <c r="G17" i="29"/>
  <c r="T22" i="29"/>
  <c r="S21" i="29"/>
  <c r="AE59" i="29" l="1"/>
  <c r="AE58" i="29"/>
  <c r="G36" i="29"/>
  <c r="H37" i="29"/>
  <c r="T16" i="29"/>
  <c r="S15" i="29"/>
  <c r="Z44" i="29"/>
  <c r="Y43" i="29"/>
  <c r="AE51" i="29"/>
  <c r="AE52" i="29"/>
  <c r="Z58" i="29"/>
  <c r="Y57" i="29"/>
  <c r="Y17" i="29"/>
  <c r="Y16" i="29"/>
  <c r="N30" i="29"/>
  <c r="M29" i="29"/>
  <c r="S51" i="29"/>
  <c r="S52" i="29"/>
  <c r="S9" i="29"/>
  <c r="S10" i="29"/>
  <c r="Y23" i="29"/>
  <c r="Y24" i="29"/>
  <c r="D17" i="10"/>
  <c r="J10" i="7"/>
  <c r="AG9" i="7"/>
  <c r="AF9" i="7"/>
  <c r="H44" i="29"/>
  <c r="G43" i="29"/>
  <c r="Z37" i="29"/>
  <c r="Y36" i="29"/>
  <c r="AL21" i="26"/>
  <c r="AQ17" i="26"/>
  <c r="Z51" i="29"/>
  <c r="Y50" i="29"/>
  <c r="H51" i="29"/>
  <c r="G50" i="29"/>
  <c r="Y29" i="29"/>
  <c r="Z30" i="29"/>
  <c r="Y9" i="29"/>
  <c r="Y10" i="29"/>
  <c r="B16" i="10"/>
  <c r="Y4" i="8" s="1"/>
  <c r="D15" i="10"/>
  <c r="B7" i="11"/>
  <c r="B8" i="11" s="1"/>
  <c r="B3" i="11" s="1"/>
  <c r="AL21" i="27"/>
  <c r="AQ17" i="27"/>
  <c r="G29" i="29"/>
  <c r="H30" i="29"/>
  <c r="J10" i="8"/>
  <c r="AG9" i="8"/>
  <c r="AF9" i="8"/>
  <c r="AL14" i="8"/>
  <c r="AQ17" i="8"/>
  <c r="M52" i="29"/>
  <c r="M51" i="29"/>
  <c r="AL42" i="5"/>
  <c r="AQ20" i="5"/>
  <c r="AE30" i="29"/>
  <c r="AE31" i="29"/>
  <c r="AF11" i="26"/>
  <c r="J12" i="26"/>
  <c r="AG11" i="26"/>
  <c r="J16" i="27"/>
  <c r="AF15" i="27"/>
  <c r="AG15" i="27"/>
  <c r="G58" i="29"/>
  <c r="G59" i="29"/>
  <c r="D8" i="11"/>
  <c r="D3" i="11" s="1"/>
  <c r="G10" i="29"/>
  <c r="G9" i="29"/>
  <c r="AL21" i="7"/>
  <c r="AQ17" i="7"/>
  <c r="G23" i="29"/>
  <c r="G24" i="29"/>
  <c r="AE17" i="29"/>
  <c r="AE16" i="29"/>
  <c r="S22" i="29"/>
  <c r="T23" i="29"/>
  <c r="AE24" i="29"/>
  <c r="AE23" i="29"/>
  <c r="AE36" i="29"/>
  <c r="AF37" i="29"/>
  <c r="M38" i="29"/>
  <c r="M37" i="29"/>
  <c r="J11" i="7" l="1"/>
  <c r="AG10" i="7"/>
  <c r="AF10" i="7"/>
  <c r="G38" i="29"/>
  <c r="G37" i="29"/>
  <c r="G44" i="29"/>
  <c r="G45" i="29"/>
  <c r="M30" i="29"/>
  <c r="M31" i="29"/>
  <c r="Y59" i="29"/>
  <c r="Y58" i="29"/>
  <c r="Y44" i="29"/>
  <c r="Y45" i="29"/>
  <c r="S16" i="29"/>
  <c r="S17" i="29"/>
  <c r="B33" i="11"/>
  <c r="B35" i="11"/>
  <c r="G31" i="29"/>
  <c r="G30" i="29"/>
  <c r="G52" i="29"/>
  <c r="G51" i="29"/>
  <c r="Y38" i="29"/>
  <c r="Y37" i="29"/>
  <c r="S24" i="29"/>
  <c r="S23" i="29"/>
  <c r="J17" i="27"/>
  <c r="AG16" i="27"/>
  <c r="AF16" i="27"/>
  <c r="AL21" i="8"/>
  <c r="AQ18" i="8"/>
  <c r="Y51" i="29"/>
  <c r="Y52" i="29"/>
  <c r="Y31" i="29"/>
  <c r="Y30" i="29"/>
  <c r="D35" i="11"/>
  <c r="D33" i="11"/>
  <c r="AL28" i="7"/>
  <c r="AQ18" i="7"/>
  <c r="AE38" i="29"/>
  <c r="AE37" i="29"/>
  <c r="AQ21" i="5"/>
  <c r="AL49" i="5"/>
  <c r="AL28" i="27"/>
  <c r="AQ18" i="27"/>
  <c r="AF12" i="26"/>
  <c r="J13" i="26"/>
  <c r="AK6" i="26"/>
  <c r="M16" i="26"/>
  <c r="AK7" i="26"/>
  <c r="AP16" i="26" s="1"/>
  <c r="M14" i="26"/>
  <c r="AG12" i="26"/>
  <c r="M15" i="26"/>
  <c r="AL28" i="26"/>
  <c r="AQ18" i="26"/>
  <c r="J11" i="8"/>
  <c r="AF10" i="8"/>
  <c r="AG10" i="8"/>
  <c r="J12" i="7" l="1"/>
  <c r="AG11" i="7"/>
  <c r="AF11" i="7"/>
  <c r="AM6" i="26"/>
  <c r="AR7" i="26" s="1"/>
  <c r="AM7" i="26"/>
  <c r="AR16" i="26" s="1"/>
  <c r="AP7" i="26"/>
  <c r="AL28" i="8"/>
  <c r="AQ19" i="8"/>
  <c r="J18" i="27"/>
  <c r="AF17" i="27"/>
  <c r="AG17" i="27"/>
  <c r="AQ22" i="5"/>
  <c r="AL56" i="5"/>
  <c r="AQ23" i="5" s="1"/>
  <c r="AL35" i="26"/>
  <c r="AQ19" i="26"/>
  <c r="J14" i="26"/>
  <c r="AF13" i="26"/>
  <c r="AG13" i="26"/>
  <c r="J12" i="8"/>
  <c r="AG11" i="8"/>
  <c r="AF11" i="8"/>
  <c r="AL35" i="27"/>
  <c r="AQ19" i="27"/>
  <c r="AL35" i="7"/>
  <c r="AQ19" i="7"/>
  <c r="J13" i="7" l="1"/>
  <c r="AK7" i="7"/>
  <c r="AP16" i="7" s="1"/>
  <c r="AK6" i="7"/>
  <c r="M14" i="7"/>
  <c r="M16" i="7"/>
  <c r="AG12" i="7"/>
  <c r="M15" i="7"/>
  <c r="AF12" i="7"/>
  <c r="AQ20" i="27"/>
  <c r="AL42" i="27"/>
  <c r="J15" i="26"/>
  <c r="AG14" i="26"/>
  <c r="AF14" i="26"/>
  <c r="J19" i="27"/>
  <c r="AG18" i="27"/>
  <c r="AF18" i="27"/>
  <c r="AL35" i="8"/>
  <c r="AQ20" i="8"/>
  <c r="AL42" i="26"/>
  <c r="AQ20" i="26"/>
  <c r="J13" i="8"/>
  <c r="N15" i="8"/>
  <c r="AK6" i="8"/>
  <c r="AG12" i="8"/>
  <c r="AK7" i="8"/>
  <c r="AP17" i="8" s="1"/>
  <c r="M16" i="8"/>
  <c r="M15" i="8"/>
  <c r="M14" i="8"/>
  <c r="AF12" i="8"/>
  <c r="AL42" i="7"/>
  <c r="AQ20" i="7"/>
  <c r="AP7" i="7" l="1"/>
  <c r="AM6" i="7"/>
  <c r="AR7" i="7" s="1"/>
  <c r="AM7" i="7"/>
  <c r="AR16" i="7" s="1"/>
  <c r="J14" i="7"/>
  <c r="AG13" i="7"/>
  <c r="AF13" i="7"/>
  <c r="AL49" i="26"/>
  <c r="AQ21" i="26"/>
  <c r="AM7" i="8"/>
  <c r="AR17" i="8" s="1"/>
  <c r="AM6" i="8"/>
  <c r="AR8" i="8" s="1"/>
  <c r="AP8" i="8"/>
  <c r="AL49" i="27"/>
  <c r="AQ21" i="27"/>
  <c r="J20" i="27"/>
  <c r="M23" i="27"/>
  <c r="AK14" i="27"/>
  <c r="AP17" i="27" s="1"/>
  <c r="M22" i="27"/>
  <c r="AG19" i="27"/>
  <c r="AK13" i="27"/>
  <c r="M21" i="27"/>
  <c r="AF19" i="27"/>
  <c r="AL42" i="8"/>
  <c r="AQ21" i="8"/>
  <c r="J16" i="26"/>
  <c r="AF15" i="26"/>
  <c r="AG15" i="26"/>
  <c r="N18" i="8"/>
  <c r="N19" i="8" s="1"/>
  <c r="N16" i="8"/>
  <c r="AL49" i="7"/>
  <c r="AQ21" i="7"/>
  <c r="J14" i="8"/>
  <c r="AF13" i="8"/>
  <c r="AG13" i="8"/>
  <c r="J15" i="7" l="1"/>
  <c r="AG14" i="7"/>
  <c r="AF14" i="7"/>
  <c r="AL56" i="7"/>
  <c r="AQ23" i="7" s="1"/>
  <c r="AQ22" i="7"/>
  <c r="AL49" i="8"/>
  <c r="AQ22" i="8"/>
  <c r="J21" i="27"/>
  <c r="AF20" i="27"/>
  <c r="AG20" i="27"/>
  <c r="J15" i="8"/>
  <c r="AG14" i="8"/>
  <c r="AF14" i="8"/>
  <c r="AM13" i="27"/>
  <c r="AR8" i="27" s="1"/>
  <c r="AP8" i="27"/>
  <c r="AM14" i="27"/>
  <c r="AR17" i="27" s="1"/>
  <c r="AL56" i="26"/>
  <c r="AQ23" i="26" s="1"/>
  <c r="AQ22" i="26"/>
  <c r="AF16" i="26"/>
  <c r="J17" i="26"/>
  <c r="AG16" i="26"/>
  <c r="AQ22" i="27"/>
  <c r="AL56" i="27"/>
  <c r="AQ23" i="27" s="1"/>
  <c r="J16" i="7" l="1"/>
  <c r="AG15" i="7"/>
  <c r="AF15" i="7"/>
  <c r="AF17" i="26"/>
  <c r="J18" i="26"/>
  <c r="AG17" i="26"/>
  <c r="AF21" i="27"/>
  <c r="J22" i="27"/>
  <c r="AG21" i="27"/>
  <c r="AL56" i="8"/>
  <c r="AQ24" i="8" s="1"/>
  <c r="AQ23" i="8"/>
  <c r="J16" i="8"/>
  <c r="AG15" i="8"/>
  <c r="AF15" i="8"/>
  <c r="J17" i="7" l="1"/>
  <c r="AG16" i="7"/>
  <c r="AF16" i="7"/>
  <c r="J23" i="27"/>
  <c r="AG22" i="27"/>
  <c r="AF22" i="27"/>
  <c r="J17" i="8"/>
  <c r="AG16" i="8"/>
  <c r="AF16" i="8"/>
  <c r="AF18" i="26"/>
  <c r="J19" i="26"/>
  <c r="AG18" i="26"/>
  <c r="J18" i="7" l="1"/>
  <c r="AG17" i="7"/>
  <c r="AF17" i="7"/>
  <c r="J18" i="8"/>
  <c r="AF17" i="8"/>
  <c r="AG17" i="8"/>
  <c r="AF19" i="26"/>
  <c r="J20" i="26"/>
  <c r="M21" i="26"/>
  <c r="AG19" i="26"/>
  <c r="M22" i="26"/>
  <c r="AK13" i="26"/>
  <c r="M23" i="26"/>
  <c r="AK14" i="26"/>
  <c r="AP17" i="26" s="1"/>
  <c r="J24" i="27"/>
  <c r="AF23" i="27"/>
  <c r="AG23" i="27"/>
  <c r="J19" i="7" l="1"/>
  <c r="AG18" i="7"/>
  <c r="AF18" i="7"/>
  <c r="J21" i="26"/>
  <c r="AG20" i="26"/>
  <c r="AF20" i="26"/>
  <c r="J25" i="27"/>
  <c r="AF24" i="27"/>
  <c r="AG24" i="27"/>
  <c r="AM14" i="26"/>
  <c r="AR17" i="26" s="1"/>
  <c r="AM13" i="26"/>
  <c r="AR8" i="26" s="1"/>
  <c r="AP8" i="26"/>
  <c r="J19" i="8"/>
  <c r="AG18" i="8"/>
  <c r="AF18" i="8"/>
  <c r="J20" i="7" l="1"/>
  <c r="AK14" i="7"/>
  <c r="AP17" i="7" s="1"/>
  <c r="M21" i="7"/>
  <c r="M22" i="7"/>
  <c r="AK13" i="7"/>
  <c r="M23" i="7"/>
  <c r="AG19" i="7"/>
  <c r="AF19" i="7"/>
  <c r="J20" i="8"/>
  <c r="N22" i="8"/>
  <c r="AK14" i="8"/>
  <c r="AP18" i="8" s="1"/>
  <c r="AK13" i="8"/>
  <c r="AG19" i="8"/>
  <c r="M23" i="8"/>
  <c r="M22" i="8"/>
  <c r="M21" i="8"/>
  <c r="AF19" i="8"/>
  <c r="J26" i="27"/>
  <c r="AG25" i="27"/>
  <c r="AF25" i="27"/>
  <c r="AF21" i="26"/>
  <c r="J22" i="26"/>
  <c r="AG21" i="26"/>
  <c r="AP8" i="7" l="1"/>
  <c r="AM14" i="7"/>
  <c r="AR17" i="7" s="1"/>
  <c r="AM13" i="7"/>
  <c r="AR8" i="7" s="1"/>
  <c r="J21" i="7"/>
  <c r="AG20" i="7"/>
  <c r="AF20" i="7"/>
  <c r="J27" i="27"/>
  <c r="AF26" i="27"/>
  <c r="AK20" i="27"/>
  <c r="M30" i="27"/>
  <c r="M29" i="27"/>
  <c r="AK21" i="27"/>
  <c r="AP18" i="27" s="1"/>
  <c r="AG26" i="27"/>
  <c r="M28" i="27"/>
  <c r="AP9" i="8"/>
  <c r="AM14" i="8"/>
  <c r="AR18" i="8" s="1"/>
  <c r="AM13" i="8"/>
  <c r="AR9" i="8" s="1"/>
  <c r="J23" i="26"/>
  <c r="AF22" i="26"/>
  <c r="AG22" i="26"/>
  <c r="N25" i="8"/>
  <c r="N26" i="8" s="1"/>
  <c r="N23" i="8"/>
  <c r="J21" i="8"/>
  <c r="AF20" i="8"/>
  <c r="AG20" i="8"/>
  <c r="J22" i="7" l="1"/>
  <c r="AG21" i="7"/>
  <c r="AF21" i="7"/>
  <c r="AF23" i="26"/>
  <c r="J24" i="26"/>
  <c r="AG23" i="26"/>
  <c r="J22" i="8"/>
  <c r="AG21" i="8"/>
  <c r="AF21" i="8"/>
  <c r="AM21" i="27"/>
  <c r="AR18" i="27" s="1"/>
  <c r="AP9" i="27"/>
  <c r="AM20" i="27"/>
  <c r="AR9" i="27" s="1"/>
  <c r="J28" i="27"/>
  <c r="AG27" i="27"/>
  <c r="AF27" i="27"/>
  <c r="J23" i="7" l="1"/>
  <c r="AG22" i="7"/>
  <c r="AF22" i="7"/>
  <c r="J29" i="27"/>
  <c r="AG28" i="27"/>
  <c r="AF28" i="27"/>
  <c r="J23" i="8"/>
  <c r="AG22" i="8"/>
  <c r="AF22" i="8"/>
  <c r="J25" i="26"/>
  <c r="AG24" i="26"/>
  <c r="AF24" i="26"/>
  <c r="J24" i="7" l="1"/>
  <c r="AG23" i="7"/>
  <c r="AF23" i="7"/>
  <c r="J24" i="8"/>
  <c r="AG23" i="8"/>
  <c r="AF23" i="8"/>
  <c r="J26" i="26"/>
  <c r="AF25" i="26"/>
  <c r="AG25" i="26"/>
  <c r="J30" i="27"/>
  <c r="AF29" i="27"/>
  <c r="AG29" i="27"/>
  <c r="J25" i="7" l="1"/>
  <c r="AG24" i="7"/>
  <c r="AF24" i="7"/>
  <c r="J27" i="26"/>
  <c r="AF26" i="26"/>
  <c r="M28" i="26"/>
  <c r="AK20" i="26"/>
  <c r="M30" i="26"/>
  <c r="AG26" i="26"/>
  <c r="AK21" i="26"/>
  <c r="AP18" i="26" s="1"/>
  <c r="M29" i="26"/>
  <c r="J31" i="27"/>
  <c r="AG30" i="27"/>
  <c r="AF30" i="27"/>
  <c r="J25" i="8"/>
  <c r="AF24" i="8"/>
  <c r="AG24" i="8"/>
  <c r="J26" i="7" l="1"/>
  <c r="AG25" i="7"/>
  <c r="AF25" i="7"/>
  <c r="AP9" i="26"/>
  <c r="AM21" i="26"/>
  <c r="AR18" i="26" s="1"/>
  <c r="AM20" i="26"/>
  <c r="AR9" i="26" s="1"/>
  <c r="J32" i="27"/>
  <c r="AG31" i="27"/>
  <c r="AF31" i="27"/>
  <c r="J26" i="8"/>
  <c r="AF25" i="8"/>
  <c r="AG25" i="8"/>
  <c r="AF27" i="26"/>
  <c r="J28" i="26"/>
  <c r="AG27" i="26"/>
  <c r="J27" i="7" l="1"/>
  <c r="M30" i="7"/>
  <c r="AK21" i="7"/>
  <c r="AP18" i="7" s="1"/>
  <c r="AG26" i="7"/>
  <c r="AK20" i="7"/>
  <c r="M29" i="7"/>
  <c r="M28" i="7"/>
  <c r="AF26" i="7"/>
  <c r="J29" i="26"/>
  <c r="AF28" i="26"/>
  <c r="AG28" i="26"/>
  <c r="J33" i="27"/>
  <c r="AF32" i="27"/>
  <c r="AG32" i="27"/>
  <c r="J27" i="8"/>
  <c r="N29" i="8"/>
  <c r="AK21" i="8"/>
  <c r="AP19" i="8" s="1"/>
  <c r="AK20" i="8"/>
  <c r="AG26" i="8"/>
  <c r="M28" i="8"/>
  <c r="M29" i="8"/>
  <c r="M30" i="8"/>
  <c r="AF26" i="8"/>
  <c r="AM20" i="7" l="1"/>
  <c r="AR9" i="7" s="1"/>
  <c r="AM21" i="7"/>
  <c r="AR18" i="7" s="1"/>
  <c r="AP9" i="7"/>
  <c r="J28" i="7"/>
  <c r="AG27" i="7"/>
  <c r="AF27" i="7"/>
  <c r="J34" i="27"/>
  <c r="AG33" i="27"/>
  <c r="AK28" i="27"/>
  <c r="AP19" i="27" s="1"/>
  <c r="M37" i="27"/>
  <c r="M35" i="27"/>
  <c r="M36" i="27"/>
  <c r="AK27" i="27"/>
  <c r="AF33" i="27"/>
  <c r="AM20" i="8"/>
  <c r="AR10" i="8" s="1"/>
  <c r="AM21" i="8"/>
  <c r="AR19" i="8" s="1"/>
  <c r="AP10" i="8"/>
  <c r="N30" i="8"/>
  <c r="N32" i="8"/>
  <c r="N33" i="8" s="1"/>
  <c r="J28" i="8"/>
  <c r="AG27" i="8"/>
  <c r="AF27" i="8"/>
  <c r="J30" i="26"/>
  <c r="AF29" i="26"/>
  <c r="AG29" i="26"/>
  <c r="J29" i="7" l="1"/>
  <c r="AG28" i="7"/>
  <c r="AF28" i="7"/>
  <c r="J29" i="8"/>
  <c r="AF28" i="8"/>
  <c r="AG28" i="8"/>
  <c r="J31" i="26"/>
  <c r="AG30" i="26"/>
  <c r="AF30" i="26"/>
  <c r="AM27" i="27"/>
  <c r="AR10" i="27" s="1"/>
  <c r="AM28" i="27"/>
  <c r="AR19" i="27" s="1"/>
  <c r="AP10" i="27"/>
  <c r="J35" i="27"/>
  <c r="AG34" i="27"/>
  <c r="AF34" i="27"/>
  <c r="J30" i="7" l="1"/>
  <c r="AG29" i="7"/>
  <c r="AF29" i="7"/>
  <c r="J32" i="26"/>
  <c r="AF31" i="26"/>
  <c r="AG31" i="26"/>
  <c r="J36" i="27"/>
  <c r="AF35" i="27"/>
  <c r="AG35" i="27"/>
  <c r="J30" i="8"/>
  <c r="AG29" i="8"/>
  <c r="AF29" i="8"/>
  <c r="J31" i="7" l="1"/>
  <c r="AG30" i="7"/>
  <c r="AF30" i="7"/>
  <c r="J37" i="27"/>
  <c r="AG36" i="27"/>
  <c r="AF36" i="27"/>
  <c r="J31" i="8"/>
  <c r="AG30" i="8"/>
  <c r="AF30" i="8"/>
  <c r="AF32" i="26"/>
  <c r="J33" i="26"/>
  <c r="AG32" i="26"/>
  <c r="J32" i="7" l="1"/>
  <c r="AG31" i="7"/>
  <c r="AF31" i="7"/>
  <c r="J32" i="8"/>
  <c r="AF31" i="8"/>
  <c r="AG31" i="8"/>
  <c r="AF33" i="26"/>
  <c r="J34" i="26"/>
  <c r="AK27" i="26"/>
  <c r="AK28" i="26"/>
  <c r="AP19" i="26" s="1"/>
  <c r="M37" i="26"/>
  <c r="M36" i="26"/>
  <c r="M35" i="26"/>
  <c r="AG33" i="26"/>
  <c r="J38" i="27"/>
  <c r="AG37" i="27"/>
  <c r="AF37" i="27"/>
  <c r="J33" i="7" l="1"/>
  <c r="AG32" i="7"/>
  <c r="AF32" i="7"/>
  <c r="J39" i="27"/>
  <c r="AF38" i="27"/>
  <c r="AG38" i="27"/>
  <c r="J35" i="26"/>
  <c r="AF34" i="26"/>
  <c r="AG34" i="26"/>
  <c r="AM27" i="26"/>
  <c r="AR10" i="26" s="1"/>
  <c r="AP10" i="26"/>
  <c r="AM28" i="26"/>
  <c r="AR19" i="26" s="1"/>
  <c r="J33" i="8"/>
  <c r="AG32" i="8"/>
  <c r="AF32" i="8"/>
  <c r="J34" i="7" l="1"/>
  <c r="M36" i="7"/>
  <c r="AK28" i="7"/>
  <c r="AP19" i="7" s="1"/>
  <c r="AK27" i="7"/>
  <c r="AG33" i="7"/>
  <c r="M37" i="7"/>
  <c r="M35" i="7"/>
  <c r="AF33" i="7"/>
  <c r="AF35" i="26"/>
  <c r="J36" i="26"/>
  <c r="AG35" i="26"/>
  <c r="J34" i="8"/>
  <c r="N36" i="8"/>
  <c r="AK28" i="8"/>
  <c r="AP20" i="8" s="1"/>
  <c r="AK27" i="8"/>
  <c r="AG33" i="8"/>
  <c r="M36" i="8"/>
  <c r="M35" i="8"/>
  <c r="M37" i="8"/>
  <c r="AF33" i="8"/>
  <c r="J40" i="27"/>
  <c r="AF39" i="27"/>
  <c r="AG39" i="27"/>
  <c r="AP10" i="7" l="1"/>
  <c r="AM27" i="7"/>
  <c r="AR10" i="7" s="1"/>
  <c r="AM28" i="7"/>
  <c r="AR19" i="7" s="1"/>
  <c r="J35" i="7"/>
  <c r="AG34" i="7"/>
  <c r="AF34" i="7"/>
  <c r="N39" i="8"/>
  <c r="N40" i="8" s="1"/>
  <c r="N37" i="8"/>
  <c r="J35" i="8"/>
  <c r="AG34" i="8"/>
  <c r="AF34" i="8"/>
  <c r="J37" i="26"/>
  <c r="AG36" i="26"/>
  <c r="AF36" i="26"/>
  <c r="J41" i="27"/>
  <c r="M42" i="27"/>
  <c r="AG40" i="27"/>
  <c r="M44" i="27"/>
  <c r="AK34" i="27"/>
  <c r="M43" i="27"/>
  <c r="AK35" i="27"/>
  <c r="AP20" i="27" s="1"/>
  <c r="AF40" i="27"/>
  <c r="AM28" i="8"/>
  <c r="AR20" i="8" s="1"/>
  <c r="AP11" i="8"/>
  <c r="AM27" i="8"/>
  <c r="AR11" i="8" s="1"/>
  <c r="J36" i="7" l="1"/>
  <c r="AG35" i="7"/>
  <c r="AF35" i="7"/>
  <c r="J38" i="26"/>
  <c r="AF37" i="26"/>
  <c r="AG37" i="26"/>
  <c r="J42" i="27"/>
  <c r="AF41" i="27"/>
  <c r="AG41" i="27"/>
  <c r="J36" i="8"/>
  <c r="AG35" i="8"/>
  <c r="AF35" i="8"/>
  <c r="AM34" i="27"/>
  <c r="AR11" i="27" s="1"/>
  <c r="AP11" i="27"/>
  <c r="AM35" i="27"/>
  <c r="AR20" i="27" s="1"/>
  <c r="J37" i="7" l="1"/>
  <c r="AG36" i="7"/>
  <c r="AF36" i="7"/>
  <c r="J43" i="27"/>
  <c r="AF42" i="27"/>
  <c r="AG42" i="27"/>
  <c r="J37" i="8"/>
  <c r="AG36" i="8"/>
  <c r="AF36" i="8"/>
  <c r="J39" i="26"/>
  <c r="AF38" i="26"/>
  <c r="AG38" i="26"/>
  <c r="J38" i="7" l="1"/>
  <c r="AG37" i="7"/>
  <c r="AF37" i="7"/>
  <c r="J38" i="8"/>
  <c r="AG37" i="8"/>
  <c r="AF37" i="8"/>
  <c r="AF39" i="26"/>
  <c r="J40" i="26"/>
  <c r="AG39" i="26"/>
  <c r="J44" i="27"/>
  <c r="AG43" i="27"/>
  <c r="AF43" i="27"/>
  <c r="J39" i="7" l="1"/>
  <c r="AG38" i="7"/>
  <c r="AF38" i="7"/>
  <c r="J41" i="26"/>
  <c r="AF40" i="26"/>
  <c r="M44" i="26"/>
  <c r="M42" i="26"/>
  <c r="M43" i="26"/>
  <c r="AK34" i="26"/>
  <c r="AG40" i="26"/>
  <c r="AK35" i="26"/>
  <c r="AP20" i="26" s="1"/>
  <c r="J45" i="27"/>
  <c r="AF44" i="27"/>
  <c r="AG44" i="27"/>
  <c r="J39" i="8"/>
  <c r="AF38" i="8"/>
  <c r="AG38" i="8"/>
  <c r="J40" i="7" l="1"/>
  <c r="AG39" i="7"/>
  <c r="AF39" i="7"/>
  <c r="AM35" i="26"/>
  <c r="AR20" i="26" s="1"/>
  <c r="AP11" i="26"/>
  <c r="AM34" i="26"/>
  <c r="AR11" i="26" s="1"/>
  <c r="J46" i="27"/>
  <c r="AG45" i="27"/>
  <c r="AF45" i="27"/>
  <c r="J40" i="8"/>
  <c r="AG39" i="8"/>
  <c r="AF39" i="8"/>
  <c r="AF41" i="26"/>
  <c r="J42" i="26"/>
  <c r="AG41" i="26"/>
  <c r="J41" i="7" l="1"/>
  <c r="AG40" i="7"/>
  <c r="M44" i="7"/>
  <c r="AK35" i="7"/>
  <c r="AP20" i="7" s="1"/>
  <c r="AK34" i="7"/>
  <c r="M42" i="7"/>
  <c r="M43" i="7"/>
  <c r="AF40" i="7"/>
  <c r="J47" i="27"/>
  <c r="AG46" i="27"/>
  <c r="AF46" i="27"/>
  <c r="J43" i="26"/>
  <c r="AG42" i="26"/>
  <c r="AF42" i="26"/>
  <c r="N43" i="8"/>
  <c r="J41" i="8"/>
  <c r="AK35" i="8"/>
  <c r="AP21" i="8" s="1"/>
  <c r="AK34" i="8"/>
  <c r="AG40" i="8"/>
  <c r="M42" i="8"/>
  <c r="M44" i="8"/>
  <c r="M43" i="8"/>
  <c r="AF40" i="8"/>
  <c r="AP11" i="7" l="1"/>
  <c r="AM34" i="7"/>
  <c r="AR11" i="7" s="1"/>
  <c r="AM35" i="7"/>
  <c r="AR20" i="7" s="1"/>
  <c r="J42" i="7"/>
  <c r="AG41" i="7"/>
  <c r="AF41" i="7"/>
  <c r="J44" i="26"/>
  <c r="AF43" i="26"/>
  <c r="AG43" i="26"/>
  <c r="J42" i="8"/>
  <c r="AG41" i="8"/>
  <c r="AF41" i="8"/>
  <c r="AP12" i="8"/>
  <c r="AM35" i="8"/>
  <c r="AR21" i="8" s="1"/>
  <c r="AM34" i="8"/>
  <c r="AR12" i="8" s="1"/>
  <c r="N46" i="8"/>
  <c r="N47" i="8" s="1"/>
  <c r="N44" i="8"/>
  <c r="J48" i="27"/>
  <c r="AF47" i="27"/>
  <c r="M49" i="27"/>
  <c r="M51" i="27"/>
  <c r="AK42" i="27"/>
  <c r="AP21" i="27" s="1"/>
  <c r="AK41" i="27"/>
  <c r="AG47" i="27"/>
  <c r="M50" i="27"/>
  <c r="J43" i="7" l="1"/>
  <c r="AG42" i="7"/>
  <c r="AF42" i="7"/>
  <c r="J43" i="8"/>
  <c r="AF42" i="8"/>
  <c r="AG42" i="8"/>
  <c r="AF48" i="27"/>
  <c r="J49" i="27"/>
  <c r="AG48" i="27"/>
  <c r="AM41" i="27"/>
  <c r="AR12" i="27" s="1"/>
  <c r="AM42" i="27"/>
  <c r="AR21" i="27" s="1"/>
  <c r="AP12" i="27"/>
  <c r="AF44" i="26"/>
  <c r="J45" i="26"/>
  <c r="AG44" i="26"/>
  <c r="J44" i="7" l="1"/>
  <c r="AG43" i="7"/>
  <c r="AF43" i="7"/>
  <c r="AF45" i="26"/>
  <c r="J46" i="26"/>
  <c r="AG45" i="26"/>
  <c r="J50" i="27"/>
  <c r="AG49" i="27"/>
  <c r="AF49" i="27"/>
  <c r="J44" i="8"/>
  <c r="AG43" i="8"/>
  <c r="AF43" i="8"/>
  <c r="J45" i="7" l="1"/>
  <c r="AG44" i="7"/>
  <c r="AF44" i="7"/>
  <c r="J51" i="27"/>
  <c r="AF50" i="27"/>
  <c r="AG50" i="27"/>
  <c r="J47" i="26"/>
  <c r="AF46" i="26"/>
  <c r="AG46" i="26"/>
  <c r="J45" i="8"/>
  <c r="AG44" i="8"/>
  <c r="AF44" i="8"/>
  <c r="J46" i="7" l="1"/>
  <c r="AG45" i="7"/>
  <c r="AF45" i="7"/>
  <c r="J48" i="26"/>
  <c r="AF47" i="26"/>
  <c r="AG47" i="26"/>
  <c r="AK41" i="26"/>
  <c r="M51" i="26"/>
  <c r="M49" i="26"/>
  <c r="M50" i="26"/>
  <c r="AK42" i="26"/>
  <c r="AP21" i="26" s="1"/>
  <c r="J46" i="8"/>
  <c r="AG45" i="8"/>
  <c r="AF45" i="8"/>
  <c r="J52" i="27"/>
  <c r="AF51" i="27"/>
  <c r="AG51" i="27"/>
  <c r="J47" i="7" l="1"/>
  <c r="AG46" i="7"/>
  <c r="AF46" i="7"/>
  <c r="AM41" i="26"/>
  <c r="AR12" i="26" s="1"/>
  <c r="AM42" i="26"/>
  <c r="AR21" i="26" s="1"/>
  <c r="AP12" i="26"/>
  <c r="J53" i="27"/>
  <c r="AG52" i="27"/>
  <c r="AF52" i="27"/>
  <c r="J47" i="8"/>
  <c r="AF46" i="8"/>
  <c r="AG46" i="8"/>
  <c r="J49" i="26"/>
  <c r="AG48" i="26"/>
  <c r="AF48" i="26"/>
  <c r="J48" i="7" l="1"/>
  <c r="AK42" i="7"/>
  <c r="AP21" i="7" s="1"/>
  <c r="AK41" i="7"/>
  <c r="M49" i="7"/>
  <c r="M50" i="7"/>
  <c r="AG47" i="7"/>
  <c r="M51" i="7"/>
  <c r="AF47" i="7"/>
  <c r="J54" i="27"/>
  <c r="AF53" i="27"/>
  <c r="AG53" i="27"/>
  <c r="J50" i="26"/>
  <c r="AF49" i="26"/>
  <c r="AG49" i="26"/>
  <c r="N50" i="8"/>
  <c r="J48" i="8"/>
  <c r="AK42" i="8"/>
  <c r="AP22" i="8" s="1"/>
  <c r="AK41" i="8"/>
  <c r="AG47" i="8"/>
  <c r="M50" i="8"/>
  <c r="M51" i="8"/>
  <c r="M49" i="8"/>
  <c r="AF47" i="8"/>
  <c r="AP12" i="7" l="1"/>
  <c r="AM42" i="7"/>
  <c r="AR21" i="7" s="1"/>
  <c r="AM41" i="7"/>
  <c r="AR12" i="7" s="1"/>
  <c r="J49" i="7"/>
  <c r="AG48" i="7"/>
  <c r="AF48" i="7"/>
  <c r="AF50" i="26"/>
  <c r="J51" i="26"/>
  <c r="AG50" i="26"/>
  <c r="AP13" i="8"/>
  <c r="AM42" i="8"/>
  <c r="AR22" i="8" s="1"/>
  <c r="AM41" i="8"/>
  <c r="AR13" i="8" s="1"/>
  <c r="J49" i="8"/>
  <c r="AG48" i="8"/>
  <c r="AF48" i="8"/>
  <c r="N53" i="8"/>
  <c r="N54" i="8" s="1"/>
  <c r="N51" i="8"/>
  <c r="J55" i="27"/>
  <c r="M57" i="27"/>
  <c r="AK48" i="27"/>
  <c r="M58" i="27"/>
  <c r="M56" i="27"/>
  <c r="AK49" i="27"/>
  <c r="AP22" i="27" s="1"/>
  <c r="AG54" i="27"/>
  <c r="AF54" i="27"/>
  <c r="J50" i="7" l="1"/>
  <c r="AG49" i="7"/>
  <c r="AF49" i="7"/>
  <c r="J56" i="27"/>
  <c r="AG55" i="27"/>
  <c r="AF55" i="27"/>
  <c r="AM49" i="27"/>
  <c r="AR22" i="27" s="1"/>
  <c r="AP13" i="27"/>
  <c r="AM48" i="27"/>
  <c r="AR13" i="27" s="1"/>
  <c r="AF51" i="26"/>
  <c r="J52" i="26"/>
  <c r="AG51" i="26"/>
  <c r="J50" i="8"/>
  <c r="AF49" i="8"/>
  <c r="AG49" i="8"/>
  <c r="J51" i="7" l="1"/>
  <c r="AG50" i="7"/>
  <c r="AF50" i="7"/>
  <c r="J51" i="8"/>
  <c r="AG50" i="8"/>
  <c r="AF50" i="8"/>
  <c r="J53" i="26"/>
  <c r="AF52" i="26"/>
  <c r="AG52" i="26"/>
  <c r="J57" i="27"/>
  <c r="AF56" i="27"/>
  <c r="AG56" i="27"/>
  <c r="J52" i="7" l="1"/>
  <c r="AG51" i="7"/>
  <c r="AF51" i="7"/>
  <c r="J54" i="26"/>
  <c r="AF53" i="26"/>
  <c r="AG53" i="26"/>
  <c r="J58" i="27"/>
  <c r="AG57" i="27"/>
  <c r="AF57" i="27"/>
  <c r="J52" i="8"/>
  <c r="AG51" i="8"/>
  <c r="AF51" i="8"/>
  <c r="J53" i="7" l="1"/>
  <c r="AG52" i="7"/>
  <c r="AF52" i="7"/>
  <c r="J59" i="27"/>
  <c r="AG58" i="27"/>
  <c r="AF58" i="27"/>
  <c r="J53" i="8"/>
  <c r="AG52" i="8"/>
  <c r="AF52" i="8"/>
  <c r="J55" i="26"/>
  <c r="AG54" i="26"/>
  <c r="M58" i="26"/>
  <c r="M56" i="26"/>
  <c r="AK48" i="26"/>
  <c r="AK49" i="26"/>
  <c r="AP22" i="26" s="1"/>
  <c r="M57" i="26"/>
  <c r="AF54" i="26"/>
  <c r="J54" i="7" l="1"/>
  <c r="AG53" i="7"/>
  <c r="AF53" i="7"/>
  <c r="J54" i="8"/>
  <c r="AF53" i="8"/>
  <c r="AG53" i="8"/>
  <c r="AM49" i="26"/>
  <c r="AR22" i="26" s="1"/>
  <c r="AP13" i="26"/>
  <c r="AM48" i="26"/>
  <c r="AR13" i="26" s="1"/>
  <c r="J56" i="26"/>
  <c r="AF55" i="26"/>
  <c r="AG55" i="26"/>
  <c r="J60" i="27"/>
  <c r="AF59" i="27"/>
  <c r="AG59" i="27"/>
  <c r="J55" i="7" l="1"/>
  <c r="AK49" i="7"/>
  <c r="AP22" i="7" s="1"/>
  <c r="AK48" i="7"/>
  <c r="AG54" i="7"/>
  <c r="M58" i="7"/>
  <c r="M56" i="7"/>
  <c r="M57" i="7"/>
  <c r="AF54" i="7"/>
  <c r="J61" i="27"/>
  <c r="AG60" i="27"/>
  <c r="AF60" i="27"/>
  <c r="J57" i="26"/>
  <c r="AF56" i="26"/>
  <c r="AG56" i="26"/>
  <c r="N57" i="8"/>
  <c r="J55" i="8"/>
  <c r="AK49" i="8"/>
  <c r="AP23" i="8" s="1"/>
  <c r="AK48" i="8"/>
  <c r="M58" i="8"/>
  <c r="M56" i="8"/>
  <c r="M57" i="8"/>
  <c r="AG54" i="8"/>
  <c r="AF54" i="8"/>
  <c r="AM49" i="7" l="1"/>
  <c r="AR22" i="7" s="1"/>
  <c r="AM48" i="7"/>
  <c r="AR13" i="7" s="1"/>
  <c r="AP13" i="7"/>
  <c r="AG55" i="7"/>
  <c r="J56" i="7"/>
  <c r="AF55" i="7"/>
  <c r="AF57" i="26"/>
  <c r="J58" i="26"/>
  <c r="AG57" i="26"/>
  <c r="AP14" i="8"/>
  <c r="AM48" i="8"/>
  <c r="AR14" i="8" s="1"/>
  <c r="AM49" i="8"/>
  <c r="AR23" i="8" s="1"/>
  <c r="J56" i="8"/>
  <c r="AG55" i="8"/>
  <c r="AF55" i="8"/>
  <c r="N60" i="8"/>
  <c r="N58" i="8"/>
  <c r="AG61" i="27"/>
  <c r="AK55" i="27"/>
  <c r="AK56" i="27"/>
  <c r="AP23" i="27" s="1"/>
  <c r="AF61" i="27"/>
  <c r="AG56" i="7" l="1"/>
  <c r="J57" i="7"/>
  <c r="AF56" i="7"/>
  <c r="J59" i="26"/>
  <c r="AF58" i="26"/>
  <c r="AG58" i="26"/>
  <c r="N61" i="8"/>
  <c r="C8" i="10"/>
  <c r="AM56" i="27"/>
  <c r="AR23" i="27" s="1"/>
  <c r="AP14" i="27"/>
  <c r="AM55" i="27"/>
  <c r="AR14" i="27" s="1"/>
  <c r="J57" i="8"/>
  <c r="AG56" i="8"/>
  <c r="AF56" i="8"/>
  <c r="AG57" i="7" l="1"/>
  <c r="AF57" i="7"/>
  <c r="J58" i="7"/>
  <c r="J58" i="8"/>
  <c r="AG57" i="8"/>
  <c r="AF57" i="8"/>
  <c r="C9" i="10"/>
  <c r="C4" i="10" s="1"/>
  <c r="D8" i="10"/>
  <c r="AF59" i="26"/>
  <c r="J60" i="26"/>
  <c r="AG59" i="26"/>
  <c r="AF58" i="7" l="1"/>
  <c r="AG58" i="7"/>
  <c r="J59" i="7"/>
  <c r="C25" i="10"/>
  <c r="D25" i="10" s="1"/>
  <c r="C19" i="10"/>
  <c r="C5" i="10"/>
  <c r="D5" i="10" s="1"/>
  <c r="C6" i="10"/>
  <c r="D6" i="10" s="1"/>
  <c r="D4" i="10"/>
  <c r="C21" i="10"/>
  <c r="J61" i="26"/>
  <c r="AG60" i="26"/>
  <c r="AF60" i="26"/>
  <c r="J59" i="8"/>
  <c r="AG58" i="8"/>
  <c r="AF58" i="8"/>
  <c r="AF59" i="7" l="1"/>
  <c r="AG59" i="7"/>
  <c r="J60" i="7"/>
  <c r="F6" i="11"/>
  <c r="G6" i="11" s="1"/>
  <c r="F7" i="11"/>
  <c r="G7" i="11" s="1"/>
  <c r="F5" i="11"/>
  <c r="C26" i="10"/>
  <c r="D21" i="10"/>
  <c r="J60" i="8"/>
  <c r="AG59" i="8"/>
  <c r="AF59" i="8"/>
  <c r="AF61" i="26"/>
  <c r="AG61" i="26"/>
  <c r="AK55" i="26"/>
  <c r="AK56" i="26"/>
  <c r="AP23" i="26" s="1"/>
  <c r="J61" i="7" l="1"/>
  <c r="AF60" i="7"/>
  <c r="AG60" i="7"/>
  <c r="J61" i="8"/>
  <c r="AF60" i="8"/>
  <c r="AG60" i="8"/>
  <c r="C28" i="10"/>
  <c r="C29" i="10" s="1"/>
  <c r="C27" i="10"/>
  <c r="F8" i="11"/>
  <c r="G5" i="11"/>
  <c r="AM55" i="26"/>
  <c r="AR14" i="26" s="1"/>
  <c r="AM56" i="26"/>
  <c r="AR23" i="26" s="1"/>
  <c r="AP14" i="26"/>
  <c r="AF61" i="7" l="1"/>
  <c r="AK56" i="7"/>
  <c r="AP23" i="7" s="1"/>
  <c r="AK55" i="7"/>
  <c r="AG61" i="7"/>
  <c r="F3" i="11"/>
  <c r="G8" i="11"/>
  <c r="AK56" i="8"/>
  <c r="AP24" i="8" s="1"/>
  <c r="AK55" i="8"/>
  <c r="AG61" i="8"/>
  <c r="AF61" i="8"/>
  <c r="AM56" i="7" l="1"/>
  <c r="AR23" i="7" s="1"/>
  <c r="AM55" i="7"/>
  <c r="AR14" i="7" s="1"/>
  <c r="AP14" i="7"/>
  <c r="AP15" i="8"/>
  <c r="AM56" i="8"/>
  <c r="AR24" i="8" s="1"/>
  <c r="AM55" i="8"/>
  <c r="AR15" i="8" s="1"/>
  <c r="F35" i="11"/>
  <c r="G35" i="11" s="1"/>
  <c r="F33" i="11"/>
  <c r="G3" i="11"/>
  <c r="G33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 Hugo Massey</author>
  </authors>
  <commentList>
    <comment ref="W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juntar este dato con altura y temperatura</t>
        </r>
      </text>
    </comment>
    <comment ref="O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todos los ingresos mejor en bultos</t>
        </r>
      </text>
    </comment>
    <comment ref="Q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este dato en bultos</t>
        </r>
      </text>
    </comment>
    <comment ref="R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este dato también en bultos</t>
        </r>
      </text>
    </comment>
  </commentList>
</comments>
</file>

<file path=xl/sharedStrings.xml><?xml version="1.0" encoding="utf-8"?>
<sst xmlns="http://schemas.openxmlformats.org/spreadsheetml/2006/main" count="481" uniqueCount="197">
  <si>
    <t>Cons Ave Dia (Gr.)</t>
  </si>
  <si>
    <t>Peso Sem</t>
  </si>
  <si>
    <t>Gan Dia</t>
  </si>
  <si>
    <t>Conversión</t>
  </si>
  <si>
    <t>Cons Acum</t>
  </si>
  <si>
    <t>Fact. IP</t>
  </si>
  <si>
    <t>Cons Sem</t>
  </si>
  <si>
    <t>Fecha</t>
  </si>
  <si>
    <t>Parám. Z</t>
  </si>
  <si>
    <t>SEM</t>
  </si>
  <si>
    <t>SEMANA 1</t>
  </si>
  <si>
    <t>SEMANA 2</t>
  </si>
  <si>
    <t>SEMANA 3</t>
  </si>
  <si>
    <t>Peso nac :</t>
  </si>
  <si>
    <t>% Cumpl</t>
  </si>
  <si>
    <t>SEMANA 4</t>
  </si>
  <si>
    <t>Mort</t>
  </si>
  <si>
    <t>Sel</t>
  </si>
  <si>
    <t>Trasl-Venta</t>
  </si>
  <si>
    <t>SEMANA 5</t>
  </si>
  <si>
    <t>Guia</t>
  </si>
  <si>
    <t>Real</t>
  </si>
  <si>
    <t>Cons Ave Dia Guia</t>
  </si>
  <si>
    <t>SEMANA 6</t>
  </si>
  <si>
    <t>Cons Sem Real</t>
  </si>
  <si>
    <t>Cons Sem Guia</t>
  </si>
  <si>
    <t>SEMANA 7</t>
  </si>
  <si>
    <t>Cons Acu Real</t>
  </si>
  <si>
    <t>Cons Acu Guia</t>
  </si>
  <si>
    <t>Peso Real</t>
  </si>
  <si>
    <t>Peso Guia</t>
  </si>
  <si>
    <t>SEMANA 8</t>
  </si>
  <si>
    <t>Ef. Am. Real</t>
  </si>
  <si>
    <t>Ef. Am. Guia</t>
  </si>
  <si>
    <t>IP Real</t>
  </si>
  <si>
    <t>IP Guia</t>
  </si>
  <si>
    <t>Clima :</t>
  </si>
  <si>
    <t>Ef. Alim</t>
  </si>
  <si>
    <t>Consumo Prom Dia</t>
  </si>
  <si>
    <t>COBB 500</t>
  </si>
  <si>
    <t>ROSS 308</t>
  </si>
  <si>
    <t xml:space="preserve">Valor Kilo Preiniciador : </t>
  </si>
  <si>
    <t xml:space="preserve">Valor Kilo Iniciador : </t>
  </si>
  <si>
    <t xml:space="preserve">EDAD POND. SACRIFICIO : </t>
  </si>
  <si>
    <t>Gr. Guía</t>
  </si>
  <si>
    <t>Gr. Obten.</t>
  </si>
  <si>
    <r>
      <t>Biom (Kg/M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</si>
  <si>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Biomasa Real</t>
  </si>
  <si>
    <t>Biomasa Guía</t>
  </si>
  <si>
    <t xml:space="preserve"> </t>
  </si>
  <si>
    <t xml:space="preserve">$ / Kilogramo: </t>
  </si>
  <si>
    <t>Preiniciador Pollito</t>
  </si>
  <si>
    <t>Iniciador Pollito</t>
  </si>
  <si>
    <t>Consolidado Alimento / Consumo</t>
  </si>
  <si>
    <t xml:space="preserve">Aves Recibidas : </t>
  </si>
  <si>
    <t># Lote :</t>
  </si>
  <si>
    <t xml:space="preserve">Sexo : </t>
  </si>
  <si>
    <t xml:space="preserve">Nombre de la Granja : </t>
  </si>
  <si>
    <t>Indicadores Zootécnicos</t>
  </si>
  <si>
    <t xml:space="preserve">Machos Recibidos : </t>
  </si>
  <si>
    <t xml:space="preserve">Hembras Recibidas : </t>
  </si>
  <si>
    <t xml:space="preserve">% Machos : </t>
  </si>
  <si>
    <t xml:space="preserve">Aves Encasetadas : </t>
  </si>
  <si>
    <t xml:space="preserve">Aves Producidas : </t>
  </si>
  <si>
    <t xml:space="preserve"># Mortalidad : </t>
  </si>
  <si>
    <t xml:space="preserve"># Selección : </t>
  </si>
  <si>
    <t xml:space="preserve">% de Mortalidad : </t>
  </si>
  <si>
    <t xml:space="preserve">% de Selección : </t>
  </si>
  <si>
    <t xml:space="preserve">% de Supervivencia : </t>
  </si>
  <si>
    <t xml:space="preserve">Peso Total Lote : </t>
  </si>
  <si>
    <t>Ganancia Promedio Diaria :</t>
  </si>
  <si>
    <t xml:space="preserve">Conversión : </t>
  </si>
  <si>
    <t xml:space="preserve">Eficiencia Alimenticia : </t>
  </si>
  <si>
    <t xml:space="preserve">Factor IP : </t>
  </si>
  <si>
    <t xml:space="preserve">Eficiencia Europea : </t>
  </si>
  <si>
    <t xml:space="preserve">Peso Prom. En Pie (gr) : </t>
  </si>
  <si>
    <t xml:space="preserve">Consumo Acum. / Ave (gr) : </t>
  </si>
  <si>
    <t xml:space="preserve">Costo Promedio Kilo Alimento : </t>
  </si>
  <si>
    <t xml:space="preserve">Factor IP X % Supervivencia : </t>
  </si>
  <si>
    <t>Total Alimento</t>
  </si>
  <si>
    <t>Subtotal Preiniciador</t>
  </si>
  <si>
    <t>Subtotal Iniciador</t>
  </si>
  <si>
    <t>Subtotal Finalizador</t>
  </si>
  <si>
    <t>Flete del Alimento</t>
  </si>
  <si>
    <t>EQUIPOS (Amortización)</t>
  </si>
  <si>
    <t>Costo del Atrape</t>
  </si>
  <si>
    <t>Flete a Sacrificio</t>
  </si>
  <si>
    <t>Arriendo / Depreciación Instalaciones</t>
  </si>
  <si>
    <t>Seguimiento Laboratorio</t>
  </si>
  <si>
    <t>Tratamiento Agua</t>
  </si>
  <si>
    <t>Plan Vacunal</t>
  </si>
  <si>
    <t>T. Desinfección</t>
  </si>
  <si>
    <t>T. Medicación</t>
  </si>
  <si>
    <t>Calefacción (con Mantenimiento)</t>
  </si>
  <si>
    <t>Cama (Incluir empapelado)</t>
  </si>
  <si>
    <t>$ Tot. Fact. Pollito 1 Dia</t>
  </si>
  <si>
    <t>Costos Comunes</t>
  </si>
  <si>
    <t>Servicios Públicos</t>
  </si>
  <si>
    <t>Administrativos</t>
  </si>
  <si>
    <t>Financieros</t>
  </si>
  <si>
    <t>Mano de Obra (Nómina)</t>
  </si>
  <si>
    <t>Temporales</t>
  </si>
  <si>
    <t>Bonificaciones</t>
  </si>
  <si>
    <t>Varios</t>
  </si>
  <si>
    <t>Alistamiento y Control Plagas (sin cama)</t>
  </si>
  <si>
    <t>Edad día</t>
  </si>
  <si>
    <t>Peso (Gr) Prom.</t>
  </si>
  <si>
    <t>Saldo Aves</t>
  </si>
  <si>
    <t>G1</t>
  </si>
  <si>
    <t>G2</t>
  </si>
  <si>
    <t>Consolidado</t>
  </si>
  <si>
    <t>Egresos</t>
  </si>
  <si>
    <t>% Ppn</t>
  </si>
  <si>
    <t>Responsable Técnico</t>
  </si>
  <si>
    <t>Presupuesto</t>
  </si>
  <si>
    <t xml:space="preserve">Total Kg. Preiniciador : </t>
  </si>
  <si>
    <t xml:space="preserve">Total Kg. Iniciador : </t>
  </si>
  <si>
    <t xml:space="preserve">Total Alimento Lote : </t>
  </si>
  <si>
    <t>Fin</t>
  </si>
  <si>
    <t>Ini</t>
  </si>
  <si>
    <t>Pre</t>
  </si>
  <si>
    <t xml:space="preserve">Empresa / Cliente : </t>
  </si>
  <si>
    <t>F. Recepción :</t>
  </si>
  <si>
    <t>Temperatura Ext :</t>
  </si>
  <si>
    <t xml:space="preserve">Tipo Galpón : </t>
  </si>
  <si>
    <t xml:space="preserve">Tipo Comederos : </t>
  </si>
  <si>
    <t xml:space="preserve">Tipo Bebederos : </t>
  </si>
  <si>
    <r>
      <t>Área útil Galpón Metro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: </t>
    </r>
  </si>
  <si>
    <r>
      <t>Densidad Final (Aves/M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) : </t>
    </r>
  </si>
  <si>
    <r>
      <t>Kilos Producidos X metro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: </t>
    </r>
  </si>
  <si>
    <t>Línea</t>
  </si>
  <si>
    <t>Tabla Propia 1</t>
  </si>
  <si>
    <t>Tabla Propia 2</t>
  </si>
  <si>
    <t xml:space="preserve">Egresos : </t>
  </si>
  <si>
    <t xml:space="preserve">Ingresos (ventas) : </t>
  </si>
  <si>
    <t xml:space="preserve">Balance : </t>
  </si>
  <si>
    <t>Cuadro de liquidación económica Consolidado Lote</t>
  </si>
  <si>
    <t>$ Ave en pie</t>
  </si>
  <si>
    <t>$ Kg en pie</t>
  </si>
  <si>
    <t>Ppto $ Kg en pie</t>
  </si>
  <si>
    <t>Toda la información en nuestra página web</t>
  </si>
  <si>
    <t>Pollitos de 1 día</t>
  </si>
  <si>
    <t>Pollo Engorde</t>
  </si>
  <si>
    <t xml:space="preserve">Total Kg. Engorde : </t>
  </si>
  <si>
    <t xml:space="preserve">Valor Kilo Engorde : </t>
  </si>
  <si>
    <t>Temperatura</t>
  </si>
  <si>
    <t>Humedad</t>
  </si>
  <si>
    <t>Densidad</t>
  </si>
  <si>
    <t>Luminosidad</t>
  </si>
  <si>
    <t>Cloro ppm</t>
  </si>
  <si>
    <t>pH Agua</t>
  </si>
  <si>
    <t>Velocidad recambio</t>
  </si>
  <si>
    <t>Kilos</t>
  </si>
  <si>
    <t>#</t>
  </si>
  <si>
    <t>Real %</t>
  </si>
  <si>
    <t>Guia %</t>
  </si>
  <si>
    <t xml:space="preserve">Mort Sem </t>
  </si>
  <si>
    <t xml:space="preserve">Sel Sem </t>
  </si>
  <si>
    <t xml:space="preserve">Mort + Sel Sem </t>
  </si>
  <si>
    <t xml:space="preserve">Mort Acum </t>
  </si>
  <si>
    <t xml:space="preserve">Sel Acum </t>
  </si>
  <si>
    <t xml:space="preserve">Mort + Sel Acum </t>
  </si>
  <si>
    <t>Seguimiento a Mortalidad y Selección</t>
  </si>
  <si>
    <t>Item</t>
  </si>
  <si>
    <t xml:space="preserve">Localización (Municipio/Vereda) : </t>
  </si>
  <si>
    <r>
      <t>Número Aves /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: </t>
    </r>
  </si>
  <si>
    <t xml:space="preserve">Altura s. n. mar : </t>
  </si>
  <si>
    <r>
      <t>Área útil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: </t>
    </r>
  </si>
  <si>
    <t>Ingreso Bulto X 40 K</t>
  </si>
  <si>
    <t>Traslado Bulto X 40 K</t>
  </si>
  <si>
    <t>Saldo Bulto X 40 K</t>
  </si>
  <si>
    <t>T. Ingreso Bulto X 40 K</t>
  </si>
  <si>
    <t>T. Traslados Bulto X 40 K</t>
  </si>
  <si>
    <t>BULTOS Guia</t>
  </si>
  <si>
    <t>Total Saldo Bulto X 40 K</t>
  </si>
  <si>
    <t>Bulto X 40 K</t>
  </si>
  <si>
    <t>Consumo día Bulto X 40 K</t>
  </si>
  <si>
    <t xml:space="preserve">Guía Cons/Peso : </t>
  </si>
  <si>
    <t xml:space="preserve">Raza : </t>
  </si>
  <si>
    <t>Peso Total Neto</t>
  </si>
  <si>
    <t xml:space="preserve">Total Ventas : </t>
  </si>
  <si>
    <t>Peso (Gr) Guía</t>
  </si>
  <si>
    <t>Id. Galpón :</t>
  </si>
  <si>
    <t>BULTOS Ac.</t>
  </si>
  <si>
    <t>G3</t>
  </si>
  <si>
    <t>G4</t>
  </si>
  <si>
    <r>
      <t>Área útil m</t>
    </r>
    <r>
      <rPr>
        <vertAlign val="superscript"/>
        <sz val="10"/>
        <rFont val="Times New Roman"/>
        <family val="2"/>
      </rPr>
      <t>2</t>
    </r>
    <r>
      <rPr>
        <sz val="10"/>
        <rFont val="Times New Roman"/>
        <family val="2"/>
      </rPr>
      <t xml:space="preserve"> : </t>
    </r>
  </si>
  <si>
    <r>
      <t>Número Aves / m</t>
    </r>
    <r>
      <rPr>
        <vertAlign val="superscript"/>
        <sz val="10"/>
        <rFont val="Times New Roman"/>
        <family val="2"/>
      </rPr>
      <t>2</t>
    </r>
    <r>
      <rPr>
        <sz val="10"/>
        <rFont val="Times New Roman"/>
        <family val="2"/>
      </rPr>
      <t xml:space="preserve"> : </t>
    </r>
  </si>
  <si>
    <r>
      <t>Biom (Kg/M</t>
    </r>
    <r>
      <rPr>
        <vertAlign val="superscript"/>
        <sz val="10"/>
        <rFont val="Times New Roman"/>
        <family val="2"/>
      </rPr>
      <t>2</t>
    </r>
    <r>
      <rPr>
        <sz val="10"/>
        <rFont val="Times New Roman"/>
        <family val="2"/>
      </rPr>
      <t>)</t>
    </r>
  </si>
  <si>
    <t>ROSS 308 AP</t>
  </si>
  <si>
    <t>Edad</t>
  </si>
  <si>
    <t>Cons M</t>
  </si>
  <si>
    <t>Cons H</t>
  </si>
  <si>
    <t>Peso M</t>
  </si>
  <si>
    <t>Peso H</t>
  </si>
  <si>
    <t>Mort Sem</t>
  </si>
  <si>
    <t>Mort Acu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</si>
</sst>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5">
    <numFmt numFmtId="44" formatCode="_ &quot;$&quot;\ * #,##0.00_ ;_ &quot;$&quot;\ * \-#,##0.00_ ;_ &quot;$&quot;\ * &quot;-&quot;??_ ;_ @_ "/>
    <numFmt numFmtId="164" formatCode="?0.00"/>
    <numFmt numFmtId="165" formatCode="???,??0"/>
    <numFmt numFmtId="166" formatCode="?0.0\ &quot;Gr.&quot;"/>
    <numFmt numFmtId="167" formatCode="?,??0"/>
    <numFmt numFmtId="168" formatCode="??0.0"/>
    <numFmt numFmtId="169" formatCode="#,##0.0_ ;[Red]\-#,##0.0\ "/>
    <numFmt numFmtId="170" formatCode="[Blue]\+?0.0_ ;[Red]\-\ ?0.0\ "/>
    <numFmt numFmtId="171" formatCode="#,##0.00_ ;[Red]\-#,##0.00\ "/>
    <numFmt numFmtId="172" formatCode="#,##0.000_ ;[Red]\-#,##0.000\ "/>
    <numFmt numFmtId="173" formatCode="?,??0.0"/>
    <numFmt numFmtId="174" formatCode="??0.00"/>
    <numFmt numFmtId="175" formatCode="?,??0.00\ &quot;Ton.&quot;_ ;[Red]\-?,??0.00\ \ &quot;Ton.&quot;"/>
    <numFmt numFmtId="176" formatCode="#0.000"/>
    <numFmt numFmtId="177" formatCode="#,#?0.0\ &quot;Kg/mt2&quot;"/>
    <numFmt numFmtId="178" formatCode="#?0.00"/>
    <numFmt numFmtId="179" formatCode="#?0.0\ \ &quot;Gr X dia&quot;"/>
    <numFmt numFmtId="180" formatCode="??0.0\ %"/>
    <numFmt numFmtId="181" formatCode="_(\$* #,##0_);_(\$* \(#,##0\);_(\$* \-??_);_(@_)"/>
    <numFmt numFmtId="182" formatCode="&quot;$&quot;\ ?,??0.00"/>
    <numFmt numFmtId="183" formatCode="??0.00%"/>
    <numFmt numFmtId="184" formatCode="\ ?0.0\ &quot;Días&quot;"/>
    <numFmt numFmtId="185" formatCode="#,??0.0"/>
    <numFmt numFmtId="186" formatCode="&quot;$&quot;\ #,##0.00"/>
    <numFmt numFmtId="187" formatCode="dd\-mmm\-yy\ \(ddd\)"/>
    <numFmt numFmtId="188" formatCode="&quot;$&quot;\ ???,???,??0"/>
    <numFmt numFmtId="189" formatCode="&quot;$&quot;\ ??,??0.00"/>
    <numFmt numFmtId="190" formatCode="ddd\,\ dd\-mmm"/>
    <numFmt numFmtId="191" formatCode="00"/>
    <numFmt numFmtId="192" formatCode="\ \ \ ?,??0\ &quot;Gr./Ave&quot;"/>
    <numFmt numFmtId="193" formatCode="[Blue]\+\ ??0.0_ ;[Red]\-\ ??0.0\ "/>
    <numFmt numFmtId="194" formatCode="[Red]\+\ ??0.0_ ;[Blue]\-\ ??0.0\ "/>
    <numFmt numFmtId="195" formatCode="&quot;$&quot;\ ?,??0.0\ &quot;/ Kg.&quot;"/>
    <numFmt numFmtId="196" formatCode="???,??0\ &quot;Kg&quot;"/>
    <numFmt numFmtId="197" formatCode="\ ?,??0\ &quot;Gr/Ave&quot;"/>
    <numFmt numFmtId="198" formatCode="??,??0\ &quot;Kg.&quot;_ ;[Red]\-\ ??,??0\ &quot;Kg.&quot;"/>
    <numFmt numFmtId="199" formatCode="&quot;$&quot;\ ?,??0\ &quot;/Kg.&quot;"/>
    <numFmt numFmtId="200" formatCode="?0.0\ %"/>
    <numFmt numFmtId="201" formatCode="?0.0"/>
    <numFmt numFmtId="202" formatCode="?0.00\ %"/>
    <numFmt numFmtId="203" formatCode="??0"/>
    <numFmt numFmtId="204" formatCode="&quot;Consumo &quot;@"/>
    <numFmt numFmtId="205" formatCode="&quot;Día &quot;?0"/>
    <numFmt numFmtId="206" formatCode="[Blue]\+\ &quot;$&quot;\ ?,??0.0;[Red]\-\ &quot;$&quot;\ ?,??0.0"/>
    <numFmt numFmtId="207" formatCode="[Blue]\+\ ?0.0\ %;[Red]\-\ ?0.0\ %"/>
  </numFmts>
  <fonts count="52" x14ac:knownFonts="1">
    <font>
      <sz val="10"/>
      <name val="Times New Roman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10"/>
      <color theme="0"/>
      <name val="Arial"/>
      <family val="2"/>
    </font>
    <font>
      <sz val="10"/>
      <name val="Times New Roman"/>
      <family val="1"/>
    </font>
    <font>
      <b/>
      <sz val="11"/>
      <name val="Arial Narrow"/>
      <family val="2"/>
    </font>
    <font>
      <sz val="11"/>
      <name val="Arial"/>
      <family val="2"/>
    </font>
    <font>
      <b/>
      <sz val="12"/>
      <name val="Cambria"/>
      <family val="1"/>
      <scheme val="major"/>
    </font>
    <font>
      <sz val="10"/>
      <color theme="6" tint="-0.249977111117893"/>
      <name val="Arial"/>
      <family val="2"/>
    </font>
    <font>
      <b/>
      <sz val="11"/>
      <color theme="0"/>
      <name val="Arial"/>
      <family val="2"/>
    </font>
    <font>
      <vertAlign val="superscript"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Bookshelf Symbol 7"/>
      <charset val="2"/>
    </font>
    <font>
      <sz val="8"/>
      <color theme="0"/>
      <name val="Bookshelf Symbol 7"/>
      <charset val="2"/>
    </font>
    <font>
      <b/>
      <sz val="12"/>
      <color theme="0"/>
      <name val="Bookshelf Symbol 7"/>
      <charset val="2"/>
    </font>
    <font>
      <vertAlign val="superscript"/>
      <sz val="12"/>
      <name val="Arial"/>
      <family val="2"/>
    </font>
    <font>
      <sz val="14"/>
      <name val="Calibri"/>
      <family val="2"/>
      <scheme val="minor"/>
    </font>
    <font>
      <u/>
      <sz val="10"/>
      <color theme="10"/>
      <name val="Times New Roman"/>
      <family val="1"/>
    </font>
    <font>
      <sz val="10"/>
      <color rgb="FFC00000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b/>
      <i/>
      <u/>
      <sz val="10"/>
      <color rgb="FF0070C0"/>
      <name val="Tahoma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vertAlign val="superscript"/>
      <sz val="10"/>
      <name val="Times New Roman"/>
      <family val="2"/>
    </font>
    <font>
      <sz val="10"/>
      <name val="Times New Roman"/>
      <family val="2"/>
    </font>
    <font>
      <sz val="12"/>
      <name val="Calibri"/>
      <family val="2"/>
      <scheme val="minor"/>
    </font>
    <font>
      <sz val="12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 Narrow"/>
      <family val="2"/>
    </font>
    <font>
      <sz val="12"/>
      <color theme="0"/>
      <name val="Bookshelf Symbol 7"/>
      <charset val="2"/>
    </font>
    <font>
      <i/>
      <sz val="10"/>
      <name val="Arial"/>
      <family val="2"/>
    </font>
    <font>
      <sz val="10"/>
      <color theme="6" tint="-0.249977111117893"/>
      <name val="Arial"/>
      <family val="2"/>
    </font>
    <font>
      <sz val="8"/>
      <name val="Arial"/>
      <family val="2"/>
    </font>
    <font>
      <b/>
      <sz val="12"/>
      <name val="Cambria"/>
      <family val="1"/>
      <scheme val="major"/>
    </font>
    <font>
      <sz val="10"/>
      <name val="Times New Roman"/>
      <family val="1"/>
    </font>
    <font>
      <sz val="11"/>
      <name val="Tahoma"/>
      <family val="2"/>
    </font>
  </fonts>
  <fills count="32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gradientFill degree="270">
        <stop position="0">
          <color theme="0"/>
        </stop>
        <stop position="1">
          <color rgb="FFFFC000"/>
        </stop>
      </gradient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4659260841701"/>
        <bgColor indexed="44"/>
      </patternFill>
    </fill>
    <fill>
      <patternFill patternType="solid">
        <fgColor theme="2" tint="-0.2499465926084170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3" tint="0.80001220740379042"/>
        </stop>
      </gradientFill>
    </fill>
    <fill>
      <gradientFill degree="270">
        <stop position="0">
          <color theme="0"/>
        </stop>
        <stop position="1">
          <color rgb="FFC00000"/>
        </stop>
      </gradient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270">
        <stop position="0">
          <color theme="0"/>
        </stop>
        <stop position="1">
          <color rgb="FFF00000"/>
        </stop>
      </gradientFill>
    </fill>
    <fill>
      <gradientFill>
        <stop position="0">
          <color theme="0"/>
        </stop>
        <stop position="1">
          <color rgb="FFF00000"/>
        </stop>
      </gradientFill>
    </fill>
    <fill>
      <gradientFill degree="90">
        <stop position="0">
          <color theme="0"/>
        </stop>
        <stop position="1">
          <color rgb="FFF00000"/>
        </stop>
      </gradientFill>
    </fill>
    <fill>
      <gradientFill degree="90">
        <stop position="0">
          <color rgb="FFFFFFCC"/>
        </stop>
        <stop position="1">
          <color rgb="FFF00000"/>
        </stop>
      </gradientFill>
    </fill>
    <fill>
      <gradientFill degree="90">
        <stop position="0">
          <color theme="9" tint="0.80001220740379042"/>
        </stop>
        <stop position="1">
          <color rgb="FFF00000"/>
        </stop>
      </gradientFill>
    </fill>
    <fill>
      <patternFill patternType="solid">
        <fgColor theme="0"/>
        <bgColor auto="1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9" tint="0.80001220740379042"/>
        </stop>
      </gradientFill>
    </fill>
    <fill>
      <patternFill patternType="solid">
        <fgColor theme="0" tint="-0.249977111117893"/>
        <bgColor indexed="4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7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/>
      <top style="hair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hair">
        <color auto="1"/>
      </bottom>
      <diagonal/>
    </border>
    <border>
      <left style="dotted">
        <color auto="1"/>
      </left>
      <right/>
      <top/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rgb="FFFF0000"/>
      </top>
      <bottom style="medium">
        <color rgb="FFFF0000"/>
      </bottom>
      <diagonal/>
    </border>
    <border>
      <left style="hair">
        <color auto="1"/>
      </left>
      <right style="hair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rgb="FFFF0000"/>
      </top>
      <bottom style="medium">
        <color rgb="FFFF0000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8"/>
      </left>
      <right/>
      <top style="double">
        <color auto="1"/>
      </top>
      <bottom style="hair">
        <color auto="1"/>
      </bottom>
      <diagonal/>
    </border>
    <border>
      <left style="medium">
        <color indexed="8"/>
      </left>
      <right/>
      <top style="hair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8"/>
      </top>
      <bottom style="hair">
        <color auto="1"/>
      </bottom>
      <diagonal/>
    </border>
    <border>
      <left style="dotted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thin">
        <color rgb="FFC00000"/>
      </top>
      <bottom style="medium">
        <color auto="1"/>
      </bottom>
      <diagonal/>
    </border>
    <border>
      <left style="dotted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indexed="8"/>
      </left>
      <right/>
      <top style="medium">
        <color indexed="8"/>
      </top>
      <bottom style="double">
        <color auto="1"/>
      </bottom>
      <diagonal/>
    </border>
    <border>
      <left style="thin">
        <color auto="1"/>
      </left>
      <right/>
      <top style="medium">
        <color indexed="8"/>
      </top>
      <bottom style="double">
        <color auto="1"/>
      </bottom>
      <diagonal/>
    </border>
    <border>
      <left style="medium">
        <color indexed="8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8"/>
      </left>
      <right/>
      <top style="hair">
        <color auto="1"/>
      </top>
      <bottom style="medium">
        <color indexed="8"/>
      </bottom>
      <diagonal/>
    </border>
    <border>
      <left style="thin">
        <color auto="1"/>
      </left>
      <right/>
      <top style="hair">
        <color auto="1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auto="1"/>
      </bottom>
      <diagonal/>
    </border>
    <border>
      <left style="medium">
        <color indexed="8"/>
      </left>
      <right/>
      <top style="hair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auto="1"/>
      </top>
      <bottom style="hair">
        <color auto="1"/>
      </bottom>
      <diagonal/>
    </border>
    <border>
      <left style="medium">
        <color indexed="8"/>
      </left>
      <right/>
      <top style="hair">
        <color auto="1"/>
      </top>
      <bottom style="hair">
        <color auto="1"/>
      </bottom>
      <diagonal/>
    </border>
    <border>
      <left style="medium">
        <color indexed="8"/>
      </left>
      <right/>
      <top style="hair">
        <color auto="1"/>
      </top>
      <bottom style="medium">
        <color indexed="8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 style="dotted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indexed="8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indexed="8"/>
      </bottom>
      <diagonal/>
    </border>
    <border>
      <left style="double">
        <color auto="1"/>
      </left>
      <right style="thin">
        <color auto="1"/>
      </right>
      <top style="medium">
        <color indexed="8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indexed="8"/>
      </bottom>
      <diagonal/>
    </border>
    <border>
      <left style="double">
        <color auto="1"/>
      </left>
      <right style="thin">
        <color auto="1"/>
      </right>
      <top style="hair">
        <color indexed="8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thin">
        <color indexed="8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medium">
        <color indexed="8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8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indexed="8"/>
      </bottom>
      <diagonal/>
    </border>
    <border>
      <left style="thin">
        <color indexed="8"/>
      </left>
      <right style="medium">
        <color auto="1"/>
      </right>
      <top/>
      <bottom/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auto="1"/>
      </bottom>
      <diagonal/>
    </border>
    <border>
      <left style="thin">
        <color indexed="8"/>
      </left>
      <right style="medium">
        <color auto="1"/>
      </right>
      <top style="hair">
        <color auto="1"/>
      </top>
      <bottom style="medium">
        <color indexed="8"/>
      </bottom>
      <diagonal/>
    </border>
    <border>
      <left style="thin">
        <color auto="1"/>
      </left>
      <right style="medium">
        <color auto="1"/>
      </right>
      <top style="medium">
        <color indexed="8"/>
      </top>
      <bottom style="double">
        <color auto="1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indexed="8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/>
      <diagonal/>
    </border>
    <border>
      <left style="thin">
        <color indexed="8"/>
      </left>
      <right style="medium">
        <color auto="1"/>
      </right>
      <top style="hair">
        <color indexed="8"/>
      </top>
      <bottom style="medium">
        <color indexed="8"/>
      </bottom>
      <diagonal/>
    </border>
    <border>
      <left style="thin">
        <color auto="1"/>
      </left>
      <right style="thin">
        <color indexed="8"/>
      </right>
      <top style="hair">
        <color auto="1"/>
      </top>
      <bottom style="medium">
        <color indexed="8"/>
      </bottom>
      <diagonal/>
    </border>
    <border>
      <left style="double">
        <color auto="1"/>
      </left>
      <right/>
      <top style="hair">
        <color auto="1"/>
      </top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/>
      <top style="hair">
        <color auto="1"/>
      </top>
      <bottom style="hair">
        <color auto="1"/>
      </bottom>
      <diagonal/>
    </border>
    <border>
      <left style="dotted">
        <color auto="1"/>
      </left>
      <right/>
      <top style="thin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hair">
        <color auto="1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thin">
        <color auto="1"/>
      </bottom>
      <diagonal/>
    </border>
    <border>
      <left/>
      <right/>
      <top style="medium">
        <color theme="1" tint="0.34998626667073579"/>
      </top>
      <bottom style="thin">
        <color auto="1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thin">
        <color auto="1"/>
      </bottom>
      <diagonal/>
    </border>
    <border>
      <left style="medium">
        <color theme="1" tint="0.34998626667073579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medium">
        <color theme="1" tint="0.34998626667073579"/>
      </right>
      <top/>
      <bottom style="double">
        <color auto="1"/>
      </bottom>
      <diagonal/>
    </border>
    <border>
      <left style="medium">
        <color theme="1" tint="0.34998626667073579"/>
      </left>
      <right style="dotted">
        <color auto="1"/>
      </right>
      <top style="medium">
        <color auto="1"/>
      </top>
      <bottom style="hair">
        <color auto="1"/>
      </bottom>
      <diagonal/>
    </border>
    <border>
      <left style="dotted">
        <color auto="1"/>
      </left>
      <right style="medium">
        <color theme="1" tint="0.34998626667073579"/>
      </right>
      <top style="medium">
        <color auto="1"/>
      </top>
      <bottom style="hair">
        <color auto="1"/>
      </bottom>
      <diagonal/>
    </border>
    <border>
      <left style="medium">
        <color theme="1" tint="0.34998626667073579"/>
      </left>
      <right style="dotted">
        <color auto="1"/>
      </right>
      <top/>
      <bottom style="hair">
        <color auto="1"/>
      </bottom>
      <diagonal/>
    </border>
    <border>
      <left style="dotted">
        <color auto="1"/>
      </left>
      <right style="medium">
        <color theme="1" tint="0.34998626667073579"/>
      </right>
      <top/>
      <bottom style="hair">
        <color auto="1"/>
      </bottom>
      <diagonal/>
    </border>
    <border>
      <left style="medium">
        <color theme="1" tint="0.34998626667073579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medium">
        <color theme="1" tint="0.34998626667073579"/>
      </right>
      <top style="hair">
        <color auto="1"/>
      </top>
      <bottom style="hair">
        <color auto="1"/>
      </bottom>
      <diagonal/>
    </border>
    <border>
      <left style="medium">
        <color theme="1" tint="0.34998626667073579"/>
      </left>
      <right style="dotted">
        <color auto="1"/>
      </right>
      <top style="hair">
        <color auto="1"/>
      </top>
      <bottom/>
      <diagonal/>
    </border>
    <border>
      <left style="dotted">
        <color auto="1"/>
      </left>
      <right style="medium">
        <color theme="1" tint="0.34998626667073579"/>
      </right>
      <top style="hair">
        <color auto="1"/>
      </top>
      <bottom/>
      <diagonal/>
    </border>
    <border>
      <left style="medium">
        <color theme="1" tint="0.34998626667073579"/>
      </left>
      <right style="dotted">
        <color auto="1"/>
      </right>
      <top style="double">
        <color auto="1"/>
      </top>
      <bottom style="medium">
        <color auto="1"/>
      </bottom>
      <diagonal/>
    </border>
    <border>
      <left style="dotted">
        <color auto="1"/>
      </left>
      <right style="medium">
        <color theme="1" tint="0.34998626667073579"/>
      </right>
      <top style="double">
        <color auto="1"/>
      </top>
      <bottom style="medium">
        <color auto="1"/>
      </bottom>
      <diagonal/>
    </border>
    <border>
      <left style="medium">
        <color theme="1" tint="0.34998626667073579"/>
      </left>
      <right style="dotted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 style="medium">
        <color theme="1" tint="0.34998626667073579"/>
      </right>
      <top style="hair">
        <color auto="1"/>
      </top>
      <bottom style="thin">
        <color auto="1"/>
      </bottom>
      <diagonal/>
    </border>
    <border>
      <left style="medium">
        <color theme="1" tint="0.34998626667073579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medium">
        <color theme="1" tint="0.34998626667073579"/>
      </right>
      <top style="thin">
        <color auto="1"/>
      </top>
      <bottom style="hair">
        <color auto="1"/>
      </bottom>
      <diagonal/>
    </border>
    <border>
      <left style="medium">
        <color theme="1" tint="0.34998626667073579"/>
      </left>
      <right style="dotted">
        <color auto="1"/>
      </right>
      <top style="hair">
        <color auto="1"/>
      </top>
      <bottom style="medium">
        <color theme="1" tint="0.34998626667073579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medium">
        <color theme="1" tint="0.34998626667073579"/>
      </bottom>
      <diagonal/>
    </border>
    <border>
      <left style="dotted">
        <color auto="1"/>
      </left>
      <right style="medium">
        <color theme="1" tint="0.34998626667073579"/>
      </right>
      <top style="hair">
        <color auto="1"/>
      </top>
      <bottom style="medium">
        <color theme="1" tint="0.34998626667073579"/>
      </bottom>
      <diagonal/>
    </border>
    <border>
      <left style="thin">
        <color theme="1" tint="0.34998626667073579"/>
      </left>
      <right/>
      <top style="medium">
        <color theme="1" tint="0.34998626667073579"/>
      </top>
      <bottom style="thin">
        <color auto="1"/>
      </bottom>
      <diagonal/>
    </border>
    <border>
      <left style="thin">
        <color theme="1" tint="0.34998626667073579"/>
      </left>
      <right style="dotted">
        <color auto="1"/>
      </right>
      <top/>
      <bottom style="double">
        <color auto="1"/>
      </bottom>
      <diagonal/>
    </border>
    <border>
      <left style="thin">
        <color theme="1" tint="0.34998626667073579"/>
      </left>
      <right style="dotted">
        <color auto="1"/>
      </right>
      <top style="medium">
        <color auto="1"/>
      </top>
      <bottom style="hair">
        <color auto="1"/>
      </bottom>
      <diagonal/>
    </border>
    <border>
      <left style="thin">
        <color theme="1" tint="0.34998626667073579"/>
      </left>
      <right style="dotted">
        <color auto="1"/>
      </right>
      <top/>
      <bottom style="hair">
        <color auto="1"/>
      </bottom>
      <diagonal/>
    </border>
    <border>
      <left style="thin">
        <color theme="1" tint="0.34998626667073579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thin">
        <color theme="1" tint="0.34998626667073579"/>
      </left>
      <right style="dotted">
        <color auto="1"/>
      </right>
      <top style="hair">
        <color auto="1"/>
      </top>
      <bottom/>
      <diagonal/>
    </border>
    <border>
      <left style="thin">
        <color theme="1" tint="0.34998626667073579"/>
      </left>
      <right style="dotted">
        <color auto="1"/>
      </right>
      <top style="double">
        <color auto="1"/>
      </top>
      <bottom style="medium">
        <color auto="1"/>
      </bottom>
      <diagonal/>
    </border>
    <border>
      <left style="thin">
        <color theme="1" tint="0.34998626667073579"/>
      </left>
      <right style="dotted">
        <color auto="1"/>
      </right>
      <top style="hair">
        <color auto="1"/>
      </top>
      <bottom style="thin">
        <color auto="1"/>
      </bottom>
      <diagonal/>
    </border>
    <border>
      <left style="thin">
        <color theme="1" tint="0.34998626667073579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thin">
        <color theme="1" tint="0.34998626667073579"/>
      </left>
      <right style="dotted">
        <color auto="1"/>
      </right>
      <top style="hair">
        <color auto="1"/>
      </top>
      <bottom style="medium">
        <color theme="1" tint="0.34998626667073579"/>
      </bottom>
      <diagonal/>
    </border>
    <border>
      <left style="dotted">
        <color auto="1"/>
      </left>
      <right/>
      <top style="hair">
        <color auto="1"/>
      </top>
      <bottom style="medium">
        <color theme="1" tint="0.34998626667073579"/>
      </bottom>
      <diagonal/>
    </border>
    <border>
      <left style="medium">
        <color theme="0" tint="-0.34998626667073579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medium">
        <color theme="0" tint="-0.34998626667073579"/>
      </left>
      <right style="dotted">
        <color auto="1"/>
      </right>
      <top style="medium">
        <color auto="1"/>
      </top>
      <bottom style="hair">
        <color auto="1"/>
      </bottom>
      <diagonal/>
    </border>
    <border>
      <left style="medium">
        <color theme="0" tint="-0.34998626667073579"/>
      </left>
      <right style="dotted">
        <color auto="1"/>
      </right>
      <top/>
      <bottom style="hair">
        <color auto="1"/>
      </bottom>
      <diagonal/>
    </border>
    <border>
      <left style="medium">
        <color theme="0" tint="-0.34998626667073579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medium">
        <color theme="0" tint="-0.34998626667073579"/>
      </left>
      <right style="dotted">
        <color auto="1"/>
      </right>
      <top style="hair">
        <color auto="1"/>
      </top>
      <bottom/>
      <diagonal/>
    </border>
    <border>
      <left style="medium">
        <color theme="0" tint="-0.34998626667073579"/>
      </left>
      <right style="dotted">
        <color auto="1"/>
      </right>
      <top style="double">
        <color auto="1"/>
      </top>
      <bottom style="medium">
        <color auto="1"/>
      </bottom>
      <diagonal/>
    </border>
    <border>
      <left style="medium">
        <color theme="0" tint="-0.34998626667073579"/>
      </left>
      <right style="dotted">
        <color auto="1"/>
      </right>
      <top style="hair">
        <color auto="1"/>
      </top>
      <bottom style="thin">
        <color auto="1"/>
      </bottom>
      <diagonal/>
    </border>
    <border>
      <left style="medium">
        <color theme="0" tint="-0.34998626667073579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medium">
        <color theme="0" tint="-0.34998626667073579"/>
      </left>
      <right style="dotted">
        <color auto="1"/>
      </right>
      <top style="hair">
        <color auto="1"/>
      </top>
      <bottom style="medium">
        <color theme="1" tint="0.34998626667073579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8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indexed="8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 style="thin">
        <color auto="1"/>
      </left>
      <right style="medium">
        <color auto="1"/>
      </right>
      <top style="hair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hair">
        <color auto="1"/>
      </bottom>
      <diagonal/>
    </border>
    <border>
      <left style="medium">
        <color indexed="8"/>
      </left>
      <right/>
      <top style="hair">
        <color auto="1"/>
      </top>
      <bottom/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8"/>
      </left>
      <right style="medium">
        <color auto="1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medium">
        <color indexed="8"/>
      </bottom>
      <diagonal/>
    </border>
    <border>
      <left style="thin">
        <color auto="1"/>
      </left>
      <right style="medium">
        <color auto="1"/>
      </right>
      <top style="hair">
        <color indexed="8"/>
      </top>
      <bottom style="medium">
        <color indexed="8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indexed="8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dotted">
        <color auto="1"/>
      </left>
      <right/>
      <top style="hair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 style="medium">
        <color theme="0" tint="-0.499984740745262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theme="0" tint="-0.499984740745262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indexed="8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thin">
        <color theme="0" tint="-0.34998626667073579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theme="0" tint="-0.34998626667073579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theme="0" tint="-0.34998626667073579"/>
      </bottom>
      <diagonal/>
    </border>
    <border>
      <left style="thin">
        <color auto="1"/>
      </left>
      <right style="dotted">
        <color auto="1"/>
      </right>
      <top style="thin">
        <color theme="0" tint="-0.34998626667073579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thin">
        <color theme="0" tint="-0.34998626667073579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 style="thin">
        <color theme="0" tint="-0.34998626667073579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hair">
        <color auto="1"/>
      </bottom>
      <diagonal/>
    </border>
    <border>
      <left style="thin">
        <color auto="1"/>
      </left>
      <right style="dotted">
        <color auto="1"/>
      </right>
      <top style="hair">
        <color auto="1"/>
      </top>
      <bottom style="thin">
        <color theme="0" tint="-0.499984740745262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thin">
        <color theme="0" tint="-0.499984740745262"/>
      </bottom>
      <diagonal/>
    </border>
    <border>
      <left style="dotted">
        <color auto="1"/>
      </left>
      <right style="medium">
        <color auto="1"/>
      </right>
      <top style="hair">
        <color auto="1"/>
      </top>
      <bottom style="thin">
        <color theme="0" tint="-0.499984740745262"/>
      </bottom>
      <diagonal/>
    </border>
    <border>
      <left/>
      <right/>
      <top style="thin">
        <color rgb="FFC00000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8"/>
      </left>
      <right style="medium">
        <color auto="1"/>
      </right>
      <top style="hair">
        <color indexed="8"/>
      </top>
      <bottom/>
      <diagonal/>
    </border>
    <border>
      <left style="thin">
        <color auto="1"/>
      </left>
      <right/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hair">
        <color auto="1"/>
      </top>
      <bottom/>
      <diagonal/>
    </border>
    <border>
      <left style="dotted">
        <color auto="1"/>
      </left>
      <right style="thin">
        <color auto="1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thin">
        <color auto="1"/>
      </right>
      <top style="double">
        <color indexed="8"/>
      </top>
      <bottom style="medium">
        <color indexed="8"/>
      </bottom>
      <diagonal/>
    </border>
    <border>
      <left style="thin">
        <color auto="1"/>
      </left>
      <right style="dotted">
        <color auto="1"/>
      </right>
      <top style="hair">
        <color auto="1"/>
      </top>
      <bottom/>
      <diagonal/>
    </border>
    <border>
      <left style="thin">
        <color auto="1"/>
      </left>
      <right/>
      <top style="double">
        <color indexed="8"/>
      </top>
      <bottom style="medium">
        <color indexed="8"/>
      </bottom>
      <diagonal/>
    </border>
    <border>
      <left style="thin">
        <color auto="1"/>
      </left>
      <right style="dotted">
        <color auto="1"/>
      </right>
      <top style="double">
        <color indexed="8"/>
      </top>
      <bottom style="medium">
        <color indexed="8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uble">
        <color indexed="8"/>
      </top>
      <bottom style="medium">
        <color indexed="8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double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indexed="8"/>
      </right>
      <top style="medium">
        <color auto="1"/>
      </top>
      <bottom style="hair">
        <color auto="1"/>
      </bottom>
      <diagonal/>
    </border>
    <border>
      <left/>
      <right style="dotted">
        <color auto="1"/>
      </right>
      <top style="double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medium">
        <color indexed="8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8"/>
      </bottom>
      <diagonal/>
    </border>
    <border>
      <left style="medium">
        <color auto="1"/>
      </left>
      <right style="thin">
        <color auto="1"/>
      </right>
      <top style="medium">
        <color indexed="8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8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8"/>
      </bottom>
      <diagonal/>
    </border>
    <border>
      <left style="medium">
        <color auto="1"/>
      </left>
      <right style="thin">
        <color auto="1"/>
      </right>
      <top style="hair">
        <color indexed="8"/>
      </top>
      <bottom/>
      <diagonal/>
    </border>
    <border>
      <left style="thin">
        <color auto="1"/>
      </left>
      <right style="thin">
        <color auto="1"/>
      </right>
      <top style="hair">
        <color indexed="8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indexed="8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indexed="8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hair">
        <color indexed="8"/>
      </top>
      <bottom style="medium">
        <color indexed="8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/>
      <bottom style="hair">
        <color auto="1"/>
      </bottom>
      <diagonal/>
    </border>
    <border>
      <left/>
      <right style="dotted">
        <color auto="1"/>
      </right>
      <top/>
      <bottom style="hair">
        <color auto="1"/>
      </bottom>
      <diagonal/>
    </border>
    <border>
      <left/>
      <right style="dotted">
        <color auto="1"/>
      </right>
      <top style="hair">
        <color auto="1"/>
      </top>
      <bottom style="hair">
        <color auto="1"/>
      </bottom>
      <diagonal/>
    </border>
    <border>
      <left/>
      <right style="dotted">
        <color auto="1"/>
      </right>
      <top style="hair">
        <color auto="1"/>
      </top>
      <bottom/>
      <diagonal/>
    </border>
    <border>
      <left style="dotted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theme="0" tint="-0.499984740745262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theme="0" tint="-0.499984740745262"/>
      </right>
      <top style="medium">
        <color auto="1"/>
      </top>
      <bottom/>
      <diagonal/>
    </border>
    <border>
      <left style="dotted">
        <color auto="1"/>
      </left>
      <right style="medium">
        <color theme="0" tint="-0.499984740745262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theme="0" tint="-0.499984740745262"/>
      </right>
      <top/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</borders>
  <cellStyleXfs count="4">
    <xf numFmtId="0" fontId="0" fillId="0" borderId="0"/>
    <xf numFmtId="44" fontId="9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9" fillId="0" borderId="0"/>
  </cellStyleXfs>
  <cellXfs count="988">
    <xf numFmtId="0" fontId="0" fillId="0" borderId="0" xfId="0"/>
    <xf numFmtId="0" fontId="6" fillId="0" borderId="0" xfId="0" applyFont="1"/>
    <xf numFmtId="0" fontId="7" fillId="0" borderId="0" xfId="0" applyFont="1"/>
    <xf numFmtId="169" fontId="6" fillId="0" borderId="15" xfId="0" applyNumberFormat="1" applyFont="1" applyBorder="1" applyAlignment="1" applyProtection="1">
      <alignment horizontal="center" shrinkToFit="1"/>
      <protection hidden="1"/>
    </xf>
    <xf numFmtId="0" fontId="3" fillId="0" borderId="32" xfId="0" applyFont="1" applyBorder="1" applyAlignment="1" applyProtection="1">
      <alignment horizontal="center" shrinkToFit="1"/>
      <protection hidden="1"/>
    </xf>
    <xf numFmtId="0" fontId="6" fillId="0" borderId="10" xfId="0" applyFont="1" applyBorder="1" applyAlignment="1" applyProtection="1">
      <alignment horizontal="center" shrinkToFit="1"/>
      <protection hidden="1"/>
    </xf>
    <xf numFmtId="169" fontId="6" fillId="0" borderId="16" xfId="0" applyNumberFormat="1" applyFont="1" applyBorder="1" applyAlignment="1" applyProtection="1">
      <alignment horizontal="center" shrinkToFit="1"/>
      <protection hidden="1"/>
    </xf>
    <xf numFmtId="0" fontId="6" fillId="0" borderId="11" xfId="0" applyFont="1" applyBorder="1" applyAlignment="1" applyProtection="1">
      <alignment horizontal="center" shrinkToFit="1"/>
      <protection hidden="1"/>
    </xf>
    <xf numFmtId="169" fontId="6" fillId="0" borderId="17" xfId="0" applyNumberFormat="1" applyFont="1" applyBorder="1" applyAlignment="1" applyProtection="1">
      <alignment horizontal="center" shrinkToFit="1"/>
      <protection hidden="1"/>
    </xf>
    <xf numFmtId="170" fontId="3" fillId="5" borderId="37" xfId="0" applyNumberFormat="1" applyFont="1" applyFill="1" applyBorder="1" applyAlignment="1" applyProtection="1">
      <alignment horizontal="center" shrinkToFit="1"/>
      <protection hidden="1"/>
    </xf>
    <xf numFmtId="170" fontId="3" fillId="5" borderId="38" xfId="0" applyNumberFormat="1" applyFont="1" applyFill="1" applyBorder="1" applyAlignment="1" applyProtection="1">
      <alignment horizontal="center" shrinkToFit="1"/>
      <protection hidden="1"/>
    </xf>
    <xf numFmtId="170" fontId="3" fillId="5" borderId="6" xfId="0" applyNumberFormat="1" applyFont="1" applyFill="1" applyBorder="1" applyAlignment="1" applyProtection="1">
      <alignment horizontal="center" shrinkToFit="1"/>
      <protection hidden="1"/>
    </xf>
    <xf numFmtId="171" fontId="6" fillId="0" borderId="17" xfId="0" applyNumberFormat="1" applyFont="1" applyBorder="1" applyAlignment="1" applyProtection="1">
      <alignment horizontal="center" shrinkToFit="1"/>
      <protection hidden="1"/>
    </xf>
    <xf numFmtId="172" fontId="6" fillId="0" borderId="17" xfId="0" applyNumberFormat="1" applyFont="1" applyBorder="1" applyAlignment="1" applyProtection="1">
      <alignment horizontal="center" shrinkToFit="1"/>
      <protection hidden="1"/>
    </xf>
    <xf numFmtId="0" fontId="3" fillId="0" borderId="1" xfId="0" applyFont="1" applyBorder="1" applyAlignment="1" applyProtection="1">
      <alignment horizontal="center" shrinkToFit="1"/>
      <protection hidden="1"/>
    </xf>
    <xf numFmtId="170" fontId="3" fillId="5" borderId="12" xfId="0" applyNumberFormat="1" applyFont="1" applyFill="1" applyBorder="1" applyAlignment="1" applyProtection="1">
      <alignment horizontal="center" shrinkToFit="1"/>
      <protection hidden="1"/>
    </xf>
    <xf numFmtId="0" fontId="3" fillId="0" borderId="2" xfId="0" applyFont="1" applyBorder="1" applyAlignment="1" applyProtection="1">
      <alignment horizontal="center" shrinkToFit="1"/>
      <protection hidden="1"/>
    </xf>
    <xf numFmtId="170" fontId="3" fillId="5" borderId="13" xfId="0" applyNumberFormat="1" applyFont="1" applyFill="1" applyBorder="1" applyAlignment="1" applyProtection="1">
      <alignment horizontal="center" shrinkToFit="1"/>
      <protection hidden="1"/>
    </xf>
    <xf numFmtId="0" fontId="3" fillId="0" borderId="3" xfId="0" applyFont="1" applyBorder="1" applyAlignment="1" applyProtection="1">
      <alignment horizontal="center" shrinkToFit="1"/>
      <protection hidden="1"/>
    </xf>
    <xf numFmtId="0" fontId="5" fillId="6" borderId="30" xfId="0" applyFont="1" applyFill="1" applyBorder="1" applyAlignment="1" applyProtection="1">
      <alignment horizontal="center" vertical="center" shrinkToFit="1"/>
      <protection hidden="1"/>
    </xf>
    <xf numFmtId="0" fontId="5" fillId="6" borderId="31" xfId="0" applyFont="1" applyFill="1" applyBorder="1" applyAlignment="1" applyProtection="1">
      <alignment horizontal="center" vertical="center" shrinkToFit="1"/>
      <protection hidden="1"/>
    </xf>
    <xf numFmtId="0" fontId="5" fillId="6" borderId="34" xfId="0" applyFont="1" applyFill="1" applyBorder="1" applyAlignment="1" applyProtection="1">
      <alignment horizontal="center" vertical="center" shrinkToFit="1"/>
      <protection hidden="1"/>
    </xf>
    <xf numFmtId="169" fontId="6" fillId="0" borderId="21" xfId="0" applyNumberFormat="1" applyFont="1" applyBorder="1" applyAlignment="1" applyProtection="1">
      <alignment horizontal="center" shrinkToFit="1"/>
      <protection hidden="1"/>
    </xf>
    <xf numFmtId="170" fontId="3" fillId="5" borderId="22" xfId="0" applyNumberFormat="1" applyFont="1" applyFill="1" applyBorder="1" applyAlignment="1" applyProtection="1">
      <alignment horizontal="center" shrinkToFit="1"/>
      <protection hidden="1"/>
    </xf>
    <xf numFmtId="169" fontId="3" fillId="2" borderId="33" xfId="0" applyNumberFormat="1" applyFont="1" applyFill="1" applyBorder="1" applyAlignment="1" applyProtection="1">
      <alignment horizontal="center" shrinkToFit="1"/>
      <protection locked="0"/>
    </xf>
    <xf numFmtId="185" fontId="11" fillId="2" borderId="1" xfId="0" applyNumberFormat="1" applyFont="1" applyFill="1" applyBorder="1" applyAlignment="1" applyProtection="1">
      <alignment horizontal="center" shrinkToFit="1"/>
      <protection locked="0"/>
    </xf>
    <xf numFmtId="185" fontId="11" fillId="2" borderId="2" xfId="0" applyNumberFormat="1" applyFont="1" applyFill="1" applyBorder="1" applyAlignment="1" applyProtection="1">
      <alignment horizontal="center" shrinkToFit="1"/>
      <protection locked="0"/>
    </xf>
    <xf numFmtId="185" fontId="11" fillId="2" borderId="39" xfId="0" applyNumberFormat="1" applyFont="1" applyFill="1" applyBorder="1" applyAlignment="1" applyProtection="1">
      <alignment horizontal="center" shrinkToFit="1"/>
      <protection locked="0"/>
    </xf>
    <xf numFmtId="168" fontId="6" fillId="0" borderId="40" xfId="0" applyNumberFormat="1" applyFont="1" applyBorder="1" applyAlignment="1" applyProtection="1">
      <alignment horizontal="center" shrinkToFit="1"/>
      <protection hidden="1"/>
    </xf>
    <xf numFmtId="168" fontId="6" fillId="0" borderId="42" xfId="0" applyNumberFormat="1" applyFont="1" applyBorder="1" applyAlignment="1" applyProtection="1">
      <alignment horizontal="center" shrinkToFit="1"/>
      <protection hidden="1"/>
    </xf>
    <xf numFmtId="168" fontId="6" fillId="7" borderId="44" xfId="0" applyNumberFormat="1" applyFont="1" applyFill="1" applyBorder="1" applyAlignment="1" applyProtection="1">
      <alignment horizontal="center" shrinkToFit="1"/>
      <protection hidden="1"/>
    </xf>
    <xf numFmtId="185" fontId="11" fillId="2" borderId="48" xfId="0" applyNumberFormat="1" applyFont="1" applyFill="1" applyBorder="1" applyAlignment="1" applyProtection="1">
      <alignment horizontal="center" shrinkToFit="1"/>
      <protection locked="0"/>
    </xf>
    <xf numFmtId="185" fontId="11" fillId="2" borderId="49" xfId="0" applyNumberFormat="1" applyFont="1" applyFill="1" applyBorder="1" applyAlignment="1" applyProtection="1">
      <alignment horizontal="center" shrinkToFit="1"/>
      <protection locked="0"/>
    </xf>
    <xf numFmtId="185" fontId="11" fillId="2" borderId="50" xfId="0" applyNumberFormat="1" applyFont="1" applyFill="1" applyBorder="1" applyAlignment="1" applyProtection="1">
      <alignment horizontal="center" shrinkToFit="1"/>
      <protection locked="0"/>
    </xf>
    <xf numFmtId="185" fontId="11" fillId="0" borderId="41" xfId="0" applyNumberFormat="1" applyFont="1" applyBorder="1" applyAlignment="1" applyProtection="1">
      <alignment horizontal="center" shrinkToFit="1"/>
      <protection hidden="1"/>
    </xf>
    <xf numFmtId="185" fontId="11" fillId="0" borderId="43" xfId="0" applyNumberFormat="1" applyFont="1" applyBorder="1" applyAlignment="1" applyProtection="1">
      <alignment horizontal="center" shrinkToFit="1"/>
      <protection hidden="1"/>
    </xf>
    <xf numFmtId="185" fontId="11" fillId="7" borderId="45" xfId="0" applyNumberFormat="1" applyFont="1" applyFill="1" applyBorder="1" applyAlignment="1" applyProtection="1">
      <alignment horizontal="center" shrinkToFit="1"/>
      <protection hidden="1"/>
    </xf>
    <xf numFmtId="185" fontId="11" fillId="0" borderId="48" xfId="0" applyNumberFormat="1" applyFont="1" applyBorder="1" applyAlignment="1" applyProtection="1">
      <alignment horizontal="center" shrinkToFit="1"/>
      <protection hidden="1"/>
    </xf>
    <xf numFmtId="185" fontId="11" fillId="0" borderId="49" xfId="0" applyNumberFormat="1" applyFont="1" applyBorder="1" applyAlignment="1" applyProtection="1">
      <alignment horizontal="center" shrinkToFit="1"/>
      <protection hidden="1"/>
    </xf>
    <xf numFmtId="169" fontId="3" fillId="0" borderId="33" xfId="0" applyNumberFormat="1" applyFont="1" applyBorder="1" applyAlignment="1" applyProtection="1">
      <alignment horizontal="center" shrinkToFit="1"/>
      <protection hidden="1"/>
    </xf>
    <xf numFmtId="164" fontId="13" fillId="0" borderId="51" xfId="0" applyNumberFormat="1" applyFont="1" applyBorder="1" applyAlignment="1" applyProtection="1">
      <alignment horizontal="center" vertical="center" wrapText="1" shrinkToFit="1"/>
      <protection hidden="1"/>
    </xf>
    <xf numFmtId="169" fontId="6" fillId="15" borderId="18" xfId="0" applyNumberFormat="1" applyFont="1" applyFill="1" applyBorder="1" applyAlignment="1" applyProtection="1">
      <alignment horizontal="center" shrinkToFit="1"/>
      <protection hidden="1"/>
    </xf>
    <xf numFmtId="169" fontId="3" fillId="15" borderId="35" xfId="0" applyNumberFormat="1" applyFont="1" applyFill="1" applyBorder="1" applyAlignment="1" applyProtection="1">
      <alignment horizontal="center" shrinkToFit="1"/>
      <protection hidden="1"/>
    </xf>
    <xf numFmtId="169" fontId="6" fillId="15" borderId="36" xfId="0" applyNumberFormat="1" applyFont="1" applyFill="1" applyBorder="1" applyAlignment="1" applyProtection="1">
      <alignment horizontal="center" shrinkToFit="1"/>
      <protection hidden="1"/>
    </xf>
    <xf numFmtId="172" fontId="6" fillId="15" borderId="19" xfId="0" applyNumberFormat="1" applyFont="1" applyFill="1" applyBorder="1" applyAlignment="1" applyProtection="1">
      <alignment horizontal="center" shrinkToFit="1"/>
      <protection hidden="1"/>
    </xf>
    <xf numFmtId="171" fontId="6" fillId="15" borderId="19" xfId="0" applyNumberFormat="1" applyFont="1" applyFill="1" applyBorder="1" applyAlignment="1" applyProtection="1">
      <alignment horizontal="center" shrinkToFit="1"/>
      <protection hidden="1"/>
    </xf>
    <xf numFmtId="168" fontId="6" fillId="15" borderId="18" xfId="0" applyNumberFormat="1" applyFont="1" applyFill="1" applyBorder="1" applyAlignment="1" applyProtection="1">
      <alignment horizontal="center" shrinkToFit="1"/>
      <protection hidden="1"/>
    </xf>
    <xf numFmtId="168" fontId="6" fillId="15" borderId="19" xfId="0" applyNumberFormat="1" applyFont="1" applyFill="1" applyBorder="1" applyAlignment="1" applyProtection="1">
      <alignment horizontal="center" shrinkToFit="1"/>
      <protection hidden="1"/>
    </xf>
    <xf numFmtId="168" fontId="6" fillId="15" borderId="20" xfId="0" applyNumberFormat="1" applyFont="1" applyFill="1" applyBorder="1" applyAlignment="1" applyProtection="1">
      <alignment horizontal="center" shrinkToFit="1"/>
      <protection hidden="1"/>
    </xf>
    <xf numFmtId="185" fontId="11" fillId="0" borderId="50" xfId="0" applyNumberFormat="1" applyFont="1" applyBorder="1" applyAlignment="1" applyProtection="1">
      <alignment horizontal="center" shrinkToFit="1"/>
      <protection hidden="1"/>
    </xf>
    <xf numFmtId="0" fontId="6" fillId="0" borderId="0" xfId="0" applyFont="1" applyProtection="1">
      <protection hidden="1"/>
    </xf>
    <xf numFmtId="0" fontId="0" fillId="0" borderId="0" xfId="0" applyProtection="1">
      <protection hidden="1"/>
    </xf>
    <xf numFmtId="190" fontId="6" fillId="0" borderId="14" xfId="0" applyNumberFormat="1" applyFont="1" applyBorder="1" applyAlignment="1" applyProtection="1">
      <alignment horizontal="center" shrinkToFit="1"/>
      <protection hidden="1"/>
    </xf>
    <xf numFmtId="190" fontId="6" fillId="0" borderId="4" xfId="0" applyNumberFormat="1" applyFont="1" applyBorder="1" applyAlignment="1" applyProtection="1">
      <alignment horizontal="center" shrinkToFit="1"/>
      <protection hidden="1"/>
    </xf>
    <xf numFmtId="190" fontId="6" fillId="7" borderId="5" xfId="0" applyNumberFormat="1" applyFont="1" applyFill="1" applyBorder="1" applyAlignment="1" applyProtection="1">
      <alignment horizontal="center" shrinkToFit="1"/>
      <protection hidden="1"/>
    </xf>
    <xf numFmtId="165" fontId="6" fillId="0" borderId="67" xfId="0" applyNumberFormat="1" applyFont="1" applyBorder="1" applyAlignment="1" applyProtection="1">
      <alignment horizontal="center" shrinkToFit="1"/>
      <protection hidden="1"/>
    </xf>
    <xf numFmtId="165" fontId="3" fillId="7" borderId="73" xfId="0" applyNumberFormat="1" applyFont="1" applyFill="1" applyBorder="1" applyAlignment="1" applyProtection="1">
      <alignment horizontal="center" shrinkToFit="1"/>
      <protection hidden="1"/>
    </xf>
    <xf numFmtId="0" fontId="6" fillId="0" borderId="0" xfId="0" applyFont="1" applyAlignment="1" applyProtection="1">
      <alignment horizontal="center"/>
      <protection hidden="1"/>
    </xf>
    <xf numFmtId="0" fontId="18" fillId="0" borderId="0" xfId="0" applyFont="1"/>
    <xf numFmtId="0" fontId="18" fillId="0" borderId="0" xfId="0" applyFont="1" applyAlignment="1" applyProtection="1">
      <alignment shrinkToFit="1"/>
      <protection hidden="1"/>
    </xf>
    <xf numFmtId="0" fontId="18" fillId="0" borderId="0" xfId="0" applyFont="1" applyAlignment="1">
      <alignment shrinkToFit="1"/>
    </xf>
    <xf numFmtId="189" fontId="17" fillId="0" borderId="97" xfId="1" applyNumberFormat="1" applyFont="1" applyFill="1" applyBorder="1" applyAlignment="1" applyProtection="1">
      <alignment horizontal="center" shrinkToFit="1"/>
      <protection hidden="1"/>
    </xf>
    <xf numFmtId="0" fontId="18" fillId="0" borderId="0" xfId="0" applyFont="1" applyProtection="1">
      <protection hidden="1"/>
    </xf>
    <xf numFmtId="182" fontId="16" fillId="0" borderId="25" xfId="1" applyNumberFormat="1" applyFont="1" applyFill="1" applyBorder="1" applyAlignment="1" applyProtection="1">
      <alignment horizontal="center" shrinkToFit="1"/>
      <protection hidden="1"/>
    </xf>
    <xf numFmtId="182" fontId="16" fillId="0" borderId="27" xfId="1" applyNumberFormat="1" applyFont="1" applyFill="1" applyBorder="1" applyAlignment="1" applyProtection="1">
      <alignment horizontal="center" shrinkToFit="1"/>
      <protection hidden="1"/>
    </xf>
    <xf numFmtId="182" fontId="16" fillId="0" borderId="23" xfId="1" applyNumberFormat="1" applyFont="1" applyFill="1" applyBorder="1" applyAlignment="1" applyProtection="1">
      <alignment horizontal="center" shrinkToFit="1"/>
      <protection hidden="1"/>
    </xf>
    <xf numFmtId="0" fontId="17" fillId="0" borderId="99" xfId="0" applyFont="1" applyBorder="1" applyAlignment="1" applyProtection="1">
      <alignment horizontal="center" vertical="center" shrinkToFit="1"/>
      <protection hidden="1"/>
    </xf>
    <xf numFmtId="0" fontId="17" fillId="0" borderId="93" xfId="0" applyFont="1" applyBorder="1" applyAlignment="1" applyProtection="1">
      <alignment horizontal="center" vertical="center" shrinkToFit="1"/>
      <protection hidden="1"/>
    </xf>
    <xf numFmtId="0" fontId="17" fillId="0" borderId="94" xfId="0" applyFont="1" applyBorder="1" applyAlignment="1" applyProtection="1">
      <alignment horizontal="center" vertical="center" shrinkToFit="1"/>
      <protection hidden="1"/>
    </xf>
    <xf numFmtId="0" fontId="17" fillId="0" borderId="10" xfId="0" applyFont="1" applyBorder="1" applyAlignment="1" applyProtection="1">
      <alignment horizontal="center" vertical="center" shrinkToFit="1"/>
      <protection hidden="1"/>
    </xf>
    <xf numFmtId="0" fontId="17" fillId="0" borderId="98" xfId="0" applyFont="1" applyBorder="1" applyAlignment="1" applyProtection="1">
      <alignment horizontal="center" vertical="center" shrinkToFit="1"/>
      <protection hidden="1"/>
    </xf>
    <xf numFmtId="183" fontId="3" fillId="14" borderId="91" xfId="0" applyNumberFormat="1" applyFont="1" applyFill="1" applyBorder="1" applyAlignment="1" applyProtection="1">
      <alignment horizontal="center" shrinkToFit="1"/>
      <protection locked="0"/>
    </xf>
    <xf numFmtId="0" fontId="22" fillId="9" borderId="0" xfId="0" applyFont="1" applyFill="1" applyProtection="1">
      <protection hidden="1"/>
    </xf>
    <xf numFmtId="0" fontId="3" fillId="19" borderId="7" xfId="0" applyFont="1" applyFill="1" applyBorder="1" applyAlignment="1" applyProtection="1">
      <alignment horizontal="center" vertical="center"/>
      <protection hidden="1"/>
    </xf>
    <xf numFmtId="0" fontId="3" fillId="19" borderId="14" xfId="0" applyFont="1" applyFill="1" applyBorder="1" applyAlignment="1" applyProtection="1">
      <alignment horizontal="center" vertical="center" wrapText="1"/>
      <protection hidden="1"/>
    </xf>
    <xf numFmtId="0" fontId="2" fillId="19" borderId="29" xfId="0" applyFont="1" applyFill="1" applyBorder="1" applyAlignment="1" applyProtection="1">
      <alignment horizontal="center" vertical="center" wrapText="1"/>
      <protection hidden="1"/>
    </xf>
    <xf numFmtId="0" fontId="1" fillId="19" borderId="53" xfId="0" applyFont="1" applyFill="1" applyBorder="1" applyAlignment="1" applyProtection="1">
      <alignment horizontal="center" vertical="center" wrapText="1"/>
      <protection hidden="1"/>
    </xf>
    <xf numFmtId="0" fontId="1" fillId="19" borderId="55" xfId="0" applyFont="1" applyFill="1" applyBorder="1" applyAlignment="1" applyProtection="1">
      <alignment horizontal="center" vertical="center" wrapText="1"/>
      <protection hidden="1"/>
    </xf>
    <xf numFmtId="0" fontId="1" fillId="19" borderId="56" xfId="0" applyFont="1" applyFill="1" applyBorder="1" applyAlignment="1" applyProtection="1">
      <alignment horizontal="center" vertical="center" wrapText="1"/>
      <protection hidden="1"/>
    </xf>
    <xf numFmtId="0" fontId="10" fillId="19" borderId="46" xfId="0" applyFont="1" applyFill="1" applyBorder="1" applyAlignment="1" applyProtection="1">
      <alignment horizontal="center" vertical="center" wrapText="1"/>
      <protection hidden="1"/>
    </xf>
    <xf numFmtId="0" fontId="10" fillId="19" borderId="60" xfId="0" applyFont="1" applyFill="1" applyBorder="1" applyAlignment="1" applyProtection="1">
      <alignment horizontal="center" vertical="center" wrapText="1"/>
      <protection hidden="1"/>
    </xf>
    <xf numFmtId="0" fontId="10" fillId="19" borderId="28" xfId="0" applyFont="1" applyFill="1" applyBorder="1" applyAlignment="1" applyProtection="1">
      <alignment horizontal="center" vertical="center" wrapText="1"/>
      <protection hidden="1"/>
    </xf>
    <xf numFmtId="0" fontId="3" fillId="19" borderId="55" xfId="0" applyFont="1" applyFill="1" applyBorder="1" applyAlignment="1" applyProtection="1">
      <alignment horizontal="center" vertical="center" wrapText="1"/>
      <protection hidden="1"/>
    </xf>
    <xf numFmtId="0" fontId="3" fillId="19" borderId="62" xfId="0" applyFont="1" applyFill="1" applyBorder="1" applyAlignment="1" applyProtection="1">
      <alignment horizontal="center" vertical="center" wrapText="1"/>
      <protection hidden="1"/>
    </xf>
    <xf numFmtId="0" fontId="2" fillId="19" borderId="63" xfId="0" applyFont="1" applyFill="1" applyBorder="1" applyAlignment="1" applyProtection="1">
      <alignment horizontal="center" vertical="center" wrapText="1"/>
      <protection hidden="1"/>
    </xf>
    <xf numFmtId="0" fontId="1" fillId="19" borderId="54" xfId="0" applyFont="1" applyFill="1" applyBorder="1" applyAlignment="1" applyProtection="1">
      <alignment horizontal="center" vertical="center" wrapText="1"/>
      <protection hidden="1"/>
    </xf>
    <xf numFmtId="183" fontId="3" fillId="7" borderId="104" xfId="0" applyNumberFormat="1" applyFont="1" applyFill="1" applyBorder="1" applyAlignment="1" applyProtection="1">
      <alignment horizontal="center" shrinkToFit="1"/>
      <protection hidden="1"/>
    </xf>
    <xf numFmtId="0" fontId="17" fillId="23" borderId="92" xfId="0" applyFont="1" applyFill="1" applyBorder="1" applyAlignment="1" applyProtection="1">
      <alignment horizontal="center" vertical="center" shrinkToFit="1"/>
      <protection hidden="1"/>
    </xf>
    <xf numFmtId="0" fontId="19" fillId="23" borderId="142" xfId="0" applyFont="1" applyFill="1" applyBorder="1" applyAlignment="1" applyProtection="1">
      <alignment horizontal="center" vertical="center" wrapText="1" shrinkToFit="1"/>
      <protection hidden="1"/>
    </xf>
    <xf numFmtId="0" fontId="19" fillId="23" borderId="149" xfId="0" applyFont="1" applyFill="1" applyBorder="1" applyAlignment="1" applyProtection="1">
      <alignment horizontal="center" vertical="center" wrapText="1" shrinkToFit="1"/>
      <protection hidden="1"/>
    </xf>
    <xf numFmtId="182" fontId="16" fillId="0" borderId="143" xfId="1" applyNumberFormat="1" applyFont="1" applyFill="1" applyBorder="1" applyAlignment="1" applyProtection="1">
      <alignment horizontal="center" shrinkToFit="1"/>
      <protection hidden="1"/>
    </xf>
    <xf numFmtId="182" fontId="16" fillId="0" borderId="122" xfId="1" applyNumberFormat="1" applyFont="1" applyFill="1" applyBorder="1" applyAlignment="1" applyProtection="1">
      <alignment horizontal="center" shrinkToFit="1"/>
      <protection hidden="1"/>
    </xf>
    <xf numFmtId="180" fontId="20" fillId="0" borderId="100" xfId="1" applyNumberFormat="1" applyFont="1" applyFill="1" applyBorder="1" applyAlignment="1" applyProtection="1">
      <alignment horizontal="center" shrinkToFit="1"/>
      <protection hidden="1"/>
    </xf>
    <xf numFmtId="180" fontId="21" fillId="0" borderId="26" xfId="1" applyNumberFormat="1" applyFont="1" applyFill="1" applyBorder="1" applyAlignment="1" applyProtection="1">
      <alignment horizontal="center" shrinkToFit="1"/>
      <protection hidden="1"/>
    </xf>
    <xf numFmtId="180" fontId="21" fillId="0" borderId="147" xfId="1" applyNumberFormat="1" applyFont="1" applyFill="1" applyBorder="1" applyAlignment="1" applyProtection="1">
      <alignment horizontal="center" shrinkToFit="1"/>
      <protection hidden="1"/>
    </xf>
    <xf numFmtId="180" fontId="21" fillId="0" borderId="74" xfId="1" applyNumberFormat="1" applyFont="1" applyFill="1" applyBorder="1" applyAlignment="1" applyProtection="1">
      <alignment horizontal="center" shrinkToFit="1"/>
      <protection hidden="1"/>
    </xf>
    <xf numFmtId="180" fontId="21" fillId="0" borderId="24" xfId="1" applyNumberFormat="1" applyFont="1" applyFill="1" applyBorder="1" applyAlignment="1" applyProtection="1">
      <alignment horizontal="center" shrinkToFit="1"/>
      <protection hidden="1"/>
    </xf>
    <xf numFmtId="180" fontId="21" fillId="0" borderId="148" xfId="1" applyNumberFormat="1" applyFont="1" applyFill="1" applyBorder="1" applyAlignment="1" applyProtection="1">
      <alignment horizontal="center" shrinkToFit="1"/>
      <protection hidden="1"/>
    </xf>
    <xf numFmtId="188" fontId="17" fillId="0" borderId="153" xfId="1" applyNumberFormat="1" applyFont="1" applyFill="1" applyBorder="1" applyAlignment="1" applyProtection="1">
      <alignment horizontal="center" shrinkToFit="1"/>
      <protection hidden="1"/>
    </xf>
    <xf numFmtId="189" fontId="17" fillId="0" borderId="154" xfId="1" applyNumberFormat="1" applyFont="1" applyFill="1" applyBorder="1" applyAlignment="1" applyProtection="1">
      <alignment horizontal="center" shrinkToFit="1"/>
      <protection hidden="1"/>
    </xf>
    <xf numFmtId="0" fontId="17" fillId="23" borderId="155" xfId="0" applyFont="1" applyFill="1" applyBorder="1" applyAlignment="1" applyProtection="1">
      <alignment horizontal="center" vertical="center" shrinkToFit="1"/>
      <protection hidden="1"/>
    </xf>
    <xf numFmtId="0" fontId="19" fillId="23" borderId="156" xfId="0" applyFont="1" applyFill="1" applyBorder="1" applyAlignment="1" applyProtection="1">
      <alignment horizontal="center" vertical="center" wrapText="1" shrinkToFit="1"/>
      <protection hidden="1"/>
    </xf>
    <xf numFmtId="181" fontId="16" fillId="0" borderId="157" xfId="1" applyNumberFormat="1" applyFont="1" applyFill="1" applyBorder="1" applyAlignment="1" applyProtection="1">
      <alignment shrinkToFit="1"/>
      <protection hidden="1"/>
    </xf>
    <xf numFmtId="182" fontId="16" fillId="0" borderId="158" xfId="1" applyNumberFormat="1" applyFont="1" applyFill="1" applyBorder="1" applyAlignment="1" applyProtection="1">
      <alignment horizontal="center" shrinkToFit="1"/>
      <protection hidden="1"/>
    </xf>
    <xf numFmtId="181" fontId="16" fillId="0" borderId="159" xfId="1" applyNumberFormat="1" applyFont="1" applyFill="1" applyBorder="1" applyAlignment="1" applyProtection="1">
      <alignment shrinkToFit="1"/>
      <protection hidden="1"/>
    </xf>
    <xf numFmtId="182" fontId="16" fillId="0" borderId="160" xfId="1" applyNumberFormat="1" applyFont="1" applyFill="1" applyBorder="1" applyAlignment="1" applyProtection="1">
      <alignment horizontal="center" shrinkToFit="1"/>
      <protection hidden="1"/>
    </xf>
    <xf numFmtId="181" fontId="16" fillId="0" borderId="161" xfId="1" applyNumberFormat="1" applyFont="1" applyFill="1" applyBorder="1" applyAlignment="1" applyProtection="1">
      <alignment shrinkToFit="1"/>
      <protection hidden="1"/>
    </xf>
    <xf numFmtId="182" fontId="16" fillId="0" borderId="162" xfId="1" applyNumberFormat="1" applyFont="1" applyFill="1" applyBorder="1" applyAlignment="1" applyProtection="1">
      <alignment horizontal="center" shrinkToFit="1"/>
      <protection hidden="1"/>
    </xf>
    <xf numFmtId="181" fontId="16" fillId="13" borderId="157" xfId="1" applyNumberFormat="1" applyFont="1" applyFill="1" applyBorder="1" applyAlignment="1" applyProtection="1">
      <alignment shrinkToFit="1"/>
      <protection locked="0"/>
    </xf>
    <xf numFmtId="182" fontId="16" fillId="0" borderId="166" xfId="1" applyNumberFormat="1" applyFont="1" applyFill="1" applyBorder="1" applyAlignment="1" applyProtection="1">
      <alignment horizontal="center" shrinkToFit="1"/>
      <protection hidden="1"/>
    </xf>
    <xf numFmtId="182" fontId="16" fillId="0" borderId="168" xfId="1" applyNumberFormat="1" applyFont="1" applyFill="1" applyBorder="1" applyAlignment="1" applyProtection="1">
      <alignment horizontal="center" shrinkToFit="1"/>
      <protection hidden="1"/>
    </xf>
    <xf numFmtId="181" fontId="16" fillId="0" borderId="165" xfId="1" applyNumberFormat="1" applyFont="1" applyFill="1" applyBorder="1" applyAlignment="1" applyProtection="1">
      <alignment shrinkToFit="1"/>
      <protection hidden="1"/>
    </xf>
    <xf numFmtId="181" fontId="16" fillId="13" borderId="159" xfId="1" applyNumberFormat="1" applyFont="1" applyFill="1" applyBorder="1" applyAlignment="1" applyProtection="1">
      <alignment shrinkToFit="1"/>
      <protection locked="0"/>
    </xf>
    <xf numFmtId="181" fontId="16" fillId="12" borderId="169" xfId="1" applyNumberFormat="1" applyFont="1" applyFill="1" applyBorder="1" applyAlignment="1" applyProtection="1">
      <alignment vertical="center" shrinkToFit="1"/>
      <protection locked="0"/>
    </xf>
    <xf numFmtId="182" fontId="16" fillId="0" borderId="170" xfId="1" applyNumberFormat="1" applyFont="1" applyFill="1" applyBorder="1" applyAlignment="1" applyProtection="1">
      <alignment horizontal="center" vertical="center" shrinkToFit="1"/>
      <protection hidden="1"/>
    </xf>
    <xf numFmtId="182" fontId="16" fillId="0" borderId="171" xfId="1" applyNumberFormat="1" applyFont="1" applyFill="1" applyBorder="1" applyAlignment="1" applyProtection="1">
      <alignment horizontal="center" vertical="center" shrinkToFit="1"/>
      <protection hidden="1"/>
    </xf>
    <xf numFmtId="188" fontId="17" fillId="0" borderId="173" xfId="1" applyNumberFormat="1" applyFont="1" applyFill="1" applyBorder="1" applyAlignment="1" applyProtection="1">
      <alignment horizontal="center" shrinkToFit="1"/>
      <protection hidden="1"/>
    </xf>
    <xf numFmtId="0" fontId="17" fillId="23" borderId="174" xfId="0" applyFont="1" applyFill="1" applyBorder="1" applyAlignment="1" applyProtection="1">
      <alignment horizontal="center" vertical="center" shrinkToFit="1"/>
      <protection hidden="1"/>
    </xf>
    <xf numFmtId="181" fontId="16" fillId="0" borderId="175" xfId="1" applyNumberFormat="1" applyFont="1" applyFill="1" applyBorder="1" applyAlignment="1" applyProtection="1">
      <alignment shrinkToFit="1"/>
      <protection hidden="1"/>
    </xf>
    <xf numFmtId="181" fontId="16" fillId="0" borderId="176" xfId="1" applyNumberFormat="1" applyFont="1" applyFill="1" applyBorder="1" applyAlignment="1" applyProtection="1">
      <alignment shrinkToFit="1"/>
      <protection hidden="1"/>
    </xf>
    <xf numFmtId="181" fontId="16" fillId="0" borderId="177" xfId="1" applyNumberFormat="1" applyFont="1" applyFill="1" applyBorder="1" applyAlignment="1" applyProtection="1">
      <alignment shrinkToFit="1"/>
      <protection hidden="1"/>
    </xf>
    <xf numFmtId="181" fontId="16" fillId="0" borderId="179" xfId="1" applyNumberFormat="1" applyFont="1" applyFill="1" applyBorder="1" applyAlignment="1" applyProtection="1">
      <alignment shrinkToFit="1"/>
      <protection hidden="1"/>
    </xf>
    <xf numFmtId="181" fontId="16" fillId="0" borderId="181" xfId="1" applyNumberFormat="1" applyFont="1" applyFill="1" applyBorder="1" applyAlignment="1" applyProtection="1">
      <alignment vertical="center" shrinkToFit="1"/>
      <protection hidden="1"/>
    </xf>
    <xf numFmtId="194" fontId="20" fillId="0" borderId="154" xfId="1" applyNumberFormat="1" applyFont="1" applyFill="1" applyBorder="1" applyAlignment="1" applyProtection="1">
      <alignment horizontal="center" shrinkToFit="1"/>
      <protection hidden="1"/>
    </xf>
    <xf numFmtId="182" fontId="16" fillId="18" borderId="143" xfId="1" applyNumberFormat="1" applyFont="1" applyFill="1" applyBorder="1" applyAlignment="1" applyProtection="1">
      <alignment horizontal="center" shrinkToFit="1"/>
      <protection locked="0"/>
    </xf>
    <xf numFmtId="182" fontId="16" fillId="2" borderId="25" xfId="1" applyNumberFormat="1" applyFont="1" applyFill="1" applyBorder="1" applyAlignment="1" applyProtection="1">
      <alignment horizontal="center" shrinkToFit="1"/>
      <protection locked="0"/>
    </xf>
    <xf numFmtId="182" fontId="16" fillId="2" borderId="143" xfId="1" applyNumberFormat="1" applyFont="1" applyFill="1" applyBorder="1" applyAlignment="1" applyProtection="1">
      <alignment horizontal="center" shrinkToFit="1"/>
      <protection locked="0"/>
    </xf>
    <xf numFmtId="182" fontId="16" fillId="2" borderId="23" xfId="1" applyNumberFormat="1" applyFont="1" applyFill="1" applyBorder="1" applyAlignment="1" applyProtection="1">
      <alignment horizontal="center" shrinkToFit="1"/>
      <protection locked="0"/>
    </xf>
    <xf numFmtId="182" fontId="16" fillId="2" borderId="170" xfId="1" applyNumberFormat="1" applyFont="1" applyFill="1" applyBorder="1" applyAlignment="1" applyProtection="1">
      <alignment horizontal="center" vertical="center" shrinkToFit="1"/>
      <protection locked="0"/>
    </xf>
    <xf numFmtId="181" fontId="16" fillId="18" borderId="176" xfId="1" applyNumberFormat="1" applyFont="1" applyFill="1" applyBorder="1" applyAlignment="1" applyProtection="1">
      <alignment shrinkToFit="1"/>
      <protection locked="0"/>
    </xf>
    <xf numFmtId="181" fontId="16" fillId="18" borderId="179" xfId="1" applyNumberFormat="1" applyFont="1" applyFill="1" applyBorder="1" applyAlignment="1" applyProtection="1">
      <alignment shrinkToFit="1"/>
      <protection locked="0"/>
    </xf>
    <xf numFmtId="181" fontId="16" fillId="18" borderId="175" xfId="1" applyNumberFormat="1" applyFont="1" applyFill="1" applyBorder="1" applyAlignment="1" applyProtection="1">
      <alignment shrinkToFit="1"/>
      <protection locked="0"/>
    </xf>
    <xf numFmtId="180" fontId="21" fillId="0" borderId="182" xfId="1" applyNumberFormat="1" applyFont="1" applyFill="1" applyBorder="1" applyAlignment="1" applyProtection="1">
      <alignment horizontal="center" vertical="center" shrinkToFit="1"/>
      <protection hidden="1"/>
    </xf>
    <xf numFmtId="189" fontId="17" fillId="0" borderId="183" xfId="1" applyNumberFormat="1" applyFont="1" applyFill="1" applyBorder="1" applyAlignment="1" applyProtection="1">
      <alignment horizontal="center" shrinkToFit="1"/>
      <protection hidden="1"/>
    </xf>
    <xf numFmtId="0" fontId="19" fillId="23" borderId="184" xfId="0" applyFont="1" applyFill="1" applyBorder="1" applyAlignment="1" applyProtection="1">
      <alignment horizontal="center" vertical="center" wrapText="1" shrinkToFit="1"/>
      <protection hidden="1"/>
    </xf>
    <xf numFmtId="182" fontId="16" fillId="0" borderId="185" xfId="1" applyNumberFormat="1" applyFont="1" applyFill="1" applyBorder="1" applyAlignment="1" applyProtection="1">
      <alignment horizontal="center" shrinkToFit="1"/>
      <protection hidden="1"/>
    </xf>
    <xf numFmtId="182" fontId="16" fillId="0" borderId="186" xfId="1" applyNumberFormat="1" applyFont="1" applyFill="1" applyBorder="1" applyAlignment="1" applyProtection="1">
      <alignment horizontal="center" shrinkToFit="1"/>
      <protection hidden="1"/>
    </xf>
    <xf numFmtId="182" fontId="16" fillId="0" borderId="187" xfId="1" applyNumberFormat="1" applyFont="1" applyFill="1" applyBorder="1" applyAlignment="1" applyProtection="1">
      <alignment horizontal="center" shrinkToFit="1"/>
      <protection hidden="1"/>
    </xf>
    <xf numFmtId="182" fontId="16" fillId="0" borderId="189" xfId="1" applyNumberFormat="1" applyFont="1" applyFill="1" applyBorder="1" applyAlignment="1" applyProtection="1">
      <alignment horizontal="center" shrinkToFit="1"/>
      <protection hidden="1"/>
    </xf>
    <xf numFmtId="182" fontId="16" fillId="0" borderId="190" xfId="1" applyNumberFormat="1" applyFont="1" applyFill="1" applyBorder="1" applyAlignment="1" applyProtection="1">
      <alignment horizontal="center" shrinkToFit="1"/>
      <protection hidden="1"/>
    </xf>
    <xf numFmtId="182" fontId="16" fillId="0" borderId="191" xfId="1" applyNumberFormat="1" applyFont="1" applyFill="1" applyBorder="1" applyAlignment="1" applyProtection="1">
      <alignment horizontal="center" vertical="center" shrinkToFit="1"/>
      <protection hidden="1"/>
    </xf>
    <xf numFmtId="182" fontId="16" fillId="0" borderId="192" xfId="1" applyNumberFormat="1" applyFont="1" applyFill="1" applyBorder="1" applyAlignment="1" applyProtection="1">
      <alignment horizontal="center" shrinkToFit="1"/>
      <protection hidden="1"/>
    </xf>
    <xf numFmtId="0" fontId="24" fillId="24" borderId="0" xfId="0" applyFont="1" applyFill="1" applyAlignment="1" applyProtection="1">
      <alignment horizontal="center" shrinkToFit="1"/>
      <protection hidden="1"/>
    </xf>
    <xf numFmtId="0" fontId="23" fillId="24" borderId="0" xfId="0" applyFont="1" applyFill="1" applyAlignment="1" applyProtection="1">
      <alignment horizontal="center" vertical="center" shrinkToFit="1"/>
      <protection hidden="1"/>
    </xf>
    <xf numFmtId="0" fontId="22" fillId="24" borderId="0" xfId="0" applyFont="1" applyFill="1" applyAlignment="1" applyProtection="1">
      <alignment horizontal="center" shrinkToFit="1"/>
      <protection hidden="1"/>
    </xf>
    <xf numFmtId="167" fontId="22" fillId="24" borderId="0" xfId="0" applyNumberFormat="1" applyFont="1" applyFill="1" applyAlignment="1" applyProtection="1">
      <alignment horizontal="center" shrinkToFit="1"/>
      <protection hidden="1"/>
    </xf>
    <xf numFmtId="0" fontId="9" fillId="0" borderId="0" xfId="0" applyFont="1"/>
    <xf numFmtId="0" fontId="6" fillId="22" borderId="80" xfId="0" applyFont="1" applyFill="1" applyBorder="1" applyAlignment="1" applyProtection="1">
      <alignment horizontal="center" vertical="center" shrinkToFit="1"/>
      <protection hidden="1"/>
    </xf>
    <xf numFmtId="0" fontId="6" fillId="22" borderId="102" xfId="0" applyFont="1" applyFill="1" applyBorder="1" applyAlignment="1" applyProtection="1">
      <alignment horizontal="center" vertical="center" shrinkToFit="1"/>
      <protection hidden="1"/>
    </xf>
    <xf numFmtId="0" fontId="6" fillId="22" borderId="115" xfId="0" applyFont="1" applyFill="1" applyBorder="1" applyAlignment="1" applyProtection="1">
      <alignment horizontal="center" vertical="center" shrinkToFit="1"/>
      <protection hidden="1"/>
    </xf>
    <xf numFmtId="0" fontId="11" fillId="22" borderId="120" xfId="0" applyFont="1" applyFill="1" applyBorder="1" applyAlignment="1" applyProtection="1">
      <alignment horizontal="center" vertical="center" shrinkToFit="1"/>
      <protection hidden="1"/>
    </xf>
    <xf numFmtId="0" fontId="6" fillId="0" borderId="64" xfId="0" applyFont="1" applyBorder="1" applyAlignment="1" applyProtection="1">
      <alignment horizontal="right" shrinkToFit="1"/>
      <protection hidden="1"/>
    </xf>
    <xf numFmtId="165" fontId="6" fillId="7" borderId="103" xfId="0" applyNumberFormat="1" applyFont="1" applyFill="1" applyBorder="1" applyAlignment="1" applyProtection="1">
      <alignment horizontal="center" shrinkToFit="1"/>
      <protection hidden="1"/>
    </xf>
    <xf numFmtId="165" fontId="6" fillId="17" borderId="68" xfId="0" applyNumberFormat="1" applyFont="1" applyFill="1" applyBorder="1" applyAlignment="1" applyProtection="1">
      <alignment horizontal="center" shrinkToFit="1"/>
      <protection hidden="1"/>
    </xf>
    <xf numFmtId="193" fontId="6" fillId="17" borderId="117" xfId="0" applyNumberFormat="1" applyFont="1" applyFill="1" applyBorder="1" applyAlignment="1" applyProtection="1">
      <alignment horizontal="center" shrinkToFit="1"/>
      <protection hidden="1"/>
    </xf>
    <xf numFmtId="165" fontId="6" fillId="7" borderId="68" xfId="0" applyNumberFormat="1" applyFont="1" applyFill="1" applyBorder="1" applyAlignment="1" applyProtection="1">
      <alignment horizontal="center" shrinkToFit="1"/>
      <protection hidden="1"/>
    </xf>
    <xf numFmtId="165" fontId="6" fillId="7" borderId="194" xfId="0" applyNumberFormat="1" applyFont="1" applyFill="1" applyBorder="1" applyAlignment="1" applyProtection="1">
      <alignment horizontal="center" shrinkToFit="1"/>
      <protection hidden="1"/>
    </xf>
    <xf numFmtId="0" fontId="6" fillId="0" borderId="82" xfId="0" applyFont="1" applyBorder="1" applyAlignment="1" applyProtection="1">
      <alignment horizontal="right" shrinkToFit="1"/>
      <protection hidden="1"/>
    </xf>
    <xf numFmtId="165" fontId="6" fillId="7" borderId="104" xfId="0" applyNumberFormat="1" applyFont="1" applyFill="1" applyBorder="1" applyAlignment="1" applyProtection="1">
      <alignment horizontal="center" shrinkToFit="1"/>
      <protection hidden="1"/>
    </xf>
    <xf numFmtId="165" fontId="6" fillId="7" borderId="91" xfId="0" applyNumberFormat="1" applyFont="1" applyFill="1" applyBorder="1" applyAlignment="1" applyProtection="1">
      <alignment horizontal="center" shrinkToFit="1"/>
      <protection hidden="1"/>
    </xf>
    <xf numFmtId="193" fontId="6" fillId="7" borderId="118" xfId="0" applyNumberFormat="1" applyFont="1" applyFill="1" applyBorder="1" applyAlignment="1" applyProtection="1">
      <alignment horizontal="center" shrinkToFit="1"/>
      <protection hidden="1"/>
    </xf>
    <xf numFmtId="165" fontId="6" fillId="7" borderId="83" xfId="0" applyNumberFormat="1" applyFont="1" applyFill="1" applyBorder="1" applyAlignment="1" applyProtection="1">
      <alignment horizontal="center" shrinkToFit="1"/>
      <protection hidden="1"/>
    </xf>
    <xf numFmtId="194" fontId="6" fillId="7" borderId="118" xfId="0" applyNumberFormat="1" applyFont="1" applyFill="1" applyBorder="1" applyAlignment="1" applyProtection="1">
      <alignment horizontal="center" shrinkToFit="1"/>
      <protection hidden="1"/>
    </xf>
    <xf numFmtId="183" fontId="6" fillId="7" borderId="104" xfId="0" applyNumberFormat="1" applyFont="1" applyFill="1" applyBorder="1" applyAlignment="1" applyProtection="1">
      <alignment horizontal="center" shrinkToFit="1"/>
      <protection hidden="1"/>
    </xf>
    <xf numFmtId="183" fontId="6" fillId="7" borderId="83" xfId="0" applyNumberFormat="1" applyFont="1" applyFill="1" applyBorder="1" applyAlignment="1" applyProtection="1">
      <alignment horizontal="center" shrinkToFit="1"/>
      <protection hidden="1"/>
    </xf>
    <xf numFmtId="0" fontId="6" fillId="0" borderId="84" xfId="0" applyFont="1" applyBorder="1" applyAlignment="1" applyProtection="1">
      <alignment horizontal="right" shrinkToFit="1"/>
      <protection hidden="1"/>
    </xf>
    <xf numFmtId="183" fontId="6" fillId="7" borderId="105" xfId="0" applyNumberFormat="1" applyFont="1" applyFill="1" applyBorder="1" applyAlignment="1" applyProtection="1">
      <alignment horizontal="center" shrinkToFit="1"/>
      <protection hidden="1"/>
    </xf>
    <xf numFmtId="183" fontId="6" fillId="7" borderId="116" xfId="0" applyNumberFormat="1" applyFont="1" applyFill="1" applyBorder="1" applyAlignment="1" applyProtection="1">
      <alignment horizontal="center" shrinkToFit="1"/>
      <protection hidden="1"/>
    </xf>
    <xf numFmtId="193" fontId="6" fillId="7" borderId="119" xfId="0" applyNumberFormat="1" applyFont="1" applyFill="1" applyBorder="1" applyAlignment="1" applyProtection="1">
      <alignment horizontal="center" shrinkToFit="1"/>
      <protection hidden="1"/>
    </xf>
    <xf numFmtId="183" fontId="6" fillId="7" borderId="85" xfId="0" applyNumberFormat="1" applyFont="1" applyFill="1" applyBorder="1" applyAlignment="1" applyProtection="1">
      <alignment horizontal="center" shrinkToFit="1"/>
      <protection hidden="1"/>
    </xf>
    <xf numFmtId="0" fontId="6" fillId="0" borderId="86" xfId="0" applyFont="1" applyBorder="1" applyAlignment="1" applyProtection="1">
      <alignment horizontal="right" shrinkToFit="1"/>
      <protection hidden="1"/>
    </xf>
    <xf numFmtId="198" fontId="6" fillId="7" borderId="106" xfId="0" applyNumberFormat="1" applyFont="1" applyFill="1" applyBorder="1" applyAlignment="1" applyProtection="1">
      <alignment horizontal="center" shrinkToFit="1"/>
      <protection hidden="1"/>
    </xf>
    <xf numFmtId="198" fontId="6" fillId="7" borderId="123" xfId="0" applyNumberFormat="1" applyFont="1" applyFill="1" applyBorder="1" applyAlignment="1" applyProtection="1">
      <alignment horizontal="center" shrinkToFit="1"/>
      <protection hidden="1"/>
    </xf>
    <xf numFmtId="194" fontId="6" fillId="7" borderId="125" xfId="0" applyNumberFormat="1" applyFont="1" applyFill="1" applyBorder="1" applyAlignment="1" applyProtection="1">
      <alignment horizontal="center" shrinkToFit="1"/>
      <protection hidden="1"/>
    </xf>
    <xf numFmtId="198" fontId="6" fillId="7" borderId="195" xfId="0" applyNumberFormat="1" applyFont="1" applyFill="1" applyBorder="1" applyAlignment="1" applyProtection="1">
      <alignment horizontal="center" shrinkToFit="1"/>
      <protection hidden="1"/>
    </xf>
    <xf numFmtId="0" fontId="6" fillId="0" borderId="65" xfId="0" applyFont="1" applyBorder="1" applyAlignment="1" applyProtection="1">
      <alignment horizontal="right" shrinkToFit="1"/>
      <protection hidden="1"/>
    </xf>
    <xf numFmtId="195" fontId="6" fillId="7" borderId="107" xfId="1" applyNumberFormat="1" applyFont="1" applyFill="1" applyBorder="1" applyAlignment="1" applyProtection="1">
      <alignment horizontal="center" shrinkToFit="1"/>
      <protection hidden="1"/>
    </xf>
    <xf numFmtId="199" fontId="6" fillId="14" borderId="124" xfId="1" applyNumberFormat="1" applyFont="1" applyFill="1" applyBorder="1" applyAlignment="1" applyProtection="1">
      <alignment horizontal="center" shrinkToFit="1"/>
      <protection locked="0"/>
    </xf>
    <xf numFmtId="194" fontId="6" fillId="7" borderId="126" xfId="0" applyNumberFormat="1" applyFont="1" applyFill="1" applyBorder="1" applyAlignment="1" applyProtection="1">
      <alignment horizontal="center" shrinkToFit="1"/>
      <protection hidden="1"/>
    </xf>
    <xf numFmtId="195" fontId="6" fillId="7" borderId="196" xfId="1" applyNumberFormat="1" applyFont="1" applyFill="1" applyBorder="1" applyAlignment="1" applyProtection="1">
      <alignment horizontal="center" shrinkToFit="1"/>
      <protection hidden="1"/>
    </xf>
    <xf numFmtId="0" fontId="6" fillId="0" borderId="66" xfId="0" applyFont="1" applyBorder="1" applyAlignment="1" applyProtection="1">
      <alignment horizontal="right" shrinkToFit="1"/>
      <protection hidden="1"/>
    </xf>
    <xf numFmtId="198" fontId="6" fillId="7" borderId="108" xfId="0" applyNumberFormat="1" applyFont="1" applyFill="1" applyBorder="1" applyAlignment="1" applyProtection="1">
      <alignment horizontal="center" shrinkToFit="1"/>
      <protection hidden="1"/>
    </xf>
    <xf numFmtId="198" fontId="6" fillId="7" borderId="69" xfId="0" applyNumberFormat="1" applyFont="1" applyFill="1" applyBorder="1" applyAlignment="1" applyProtection="1">
      <alignment horizontal="center" shrinkToFit="1"/>
      <protection hidden="1"/>
    </xf>
    <xf numFmtId="194" fontId="6" fillId="7" borderId="127" xfId="0" applyNumberFormat="1" applyFont="1" applyFill="1" applyBorder="1" applyAlignment="1" applyProtection="1">
      <alignment horizontal="center" shrinkToFit="1"/>
      <protection hidden="1"/>
    </xf>
    <xf numFmtId="198" fontId="6" fillId="7" borderId="197" xfId="0" applyNumberFormat="1" applyFont="1" applyFill="1" applyBorder="1" applyAlignment="1" applyProtection="1">
      <alignment horizontal="center" shrinkToFit="1"/>
      <protection hidden="1"/>
    </xf>
    <xf numFmtId="194" fontId="6" fillId="7" borderId="121" xfId="0" applyNumberFormat="1" applyFont="1" applyFill="1" applyBorder="1" applyAlignment="1" applyProtection="1">
      <alignment horizontal="center" shrinkToFit="1"/>
      <protection hidden="1"/>
    </xf>
    <xf numFmtId="198" fontId="6" fillId="7" borderId="109" xfId="0" applyNumberFormat="1" applyFont="1" applyFill="1" applyBorder="1" applyAlignment="1" applyProtection="1">
      <alignment horizontal="center" shrinkToFit="1"/>
      <protection hidden="1"/>
    </xf>
    <xf numFmtId="198" fontId="6" fillId="7" borderId="198" xfId="0" applyNumberFormat="1" applyFont="1" applyFill="1" applyBorder="1" applyAlignment="1" applyProtection="1">
      <alignment horizontal="center" shrinkToFit="1"/>
      <protection hidden="1"/>
    </xf>
    <xf numFmtId="0" fontId="6" fillId="0" borderId="87" xfId="0" applyFont="1" applyBorder="1" applyAlignment="1" applyProtection="1">
      <alignment horizontal="right" shrinkToFit="1"/>
      <protection hidden="1"/>
    </xf>
    <xf numFmtId="195" fontId="6" fillId="7" borderId="110" xfId="1" applyNumberFormat="1" applyFont="1" applyFill="1" applyBorder="1" applyAlignment="1" applyProtection="1">
      <alignment horizontal="center" shrinkToFit="1"/>
      <protection hidden="1"/>
    </xf>
    <xf numFmtId="195" fontId="6" fillId="7" borderId="199" xfId="1" applyNumberFormat="1" applyFont="1" applyFill="1" applyBorder="1" applyAlignment="1" applyProtection="1">
      <alignment horizontal="center" shrinkToFit="1"/>
      <protection hidden="1"/>
    </xf>
    <xf numFmtId="0" fontId="6" fillId="0" borderId="88" xfId="0" applyFont="1" applyBorder="1" applyAlignment="1" applyProtection="1">
      <alignment horizontal="right" shrinkToFit="1"/>
      <protection hidden="1"/>
    </xf>
    <xf numFmtId="175" fontId="6" fillId="7" borderId="111" xfId="0" applyNumberFormat="1" applyFont="1" applyFill="1" applyBorder="1" applyAlignment="1" applyProtection="1">
      <alignment horizontal="center" shrinkToFit="1"/>
      <protection hidden="1"/>
    </xf>
    <xf numFmtId="175" fontId="6" fillId="7" borderId="200" xfId="0" applyNumberFormat="1" applyFont="1" applyFill="1" applyBorder="1" applyAlignment="1" applyProtection="1">
      <alignment horizontal="center" shrinkToFit="1"/>
      <protection hidden="1"/>
    </xf>
    <xf numFmtId="0" fontId="6" fillId="0" borderId="89" xfId="0" applyFont="1" applyBorder="1" applyAlignment="1" applyProtection="1">
      <alignment horizontal="right" shrinkToFit="1"/>
      <protection hidden="1"/>
    </xf>
    <xf numFmtId="195" fontId="6" fillId="7" borderId="112" xfId="1" applyNumberFormat="1" applyFont="1" applyFill="1" applyBorder="1" applyAlignment="1" applyProtection="1">
      <alignment horizontal="center" shrinkToFit="1"/>
      <protection hidden="1"/>
    </xf>
    <xf numFmtId="195" fontId="6" fillId="7" borderId="70" xfId="1" applyNumberFormat="1" applyFont="1" applyFill="1" applyBorder="1" applyAlignment="1" applyProtection="1">
      <alignment horizontal="center" shrinkToFit="1"/>
      <protection hidden="1"/>
    </xf>
    <xf numFmtId="194" fontId="6" fillId="7" borderId="128" xfId="0" applyNumberFormat="1" applyFont="1" applyFill="1" applyBorder="1" applyAlignment="1" applyProtection="1">
      <alignment horizontal="center" shrinkToFit="1"/>
      <protection hidden="1"/>
    </xf>
    <xf numFmtId="195" fontId="6" fillId="7" borderId="201" xfId="1" applyNumberFormat="1" applyFont="1" applyFill="1" applyBorder="1" applyAlignment="1" applyProtection="1">
      <alignment horizontal="center" shrinkToFit="1"/>
      <protection hidden="1"/>
    </xf>
    <xf numFmtId="0" fontId="6" fillId="0" borderId="90" xfId="0" applyFont="1" applyBorder="1" applyAlignment="1" applyProtection="1">
      <alignment horizontal="right" shrinkToFit="1"/>
      <protection hidden="1"/>
    </xf>
    <xf numFmtId="192" fontId="6" fillId="7" borderId="105" xfId="0" applyNumberFormat="1" applyFont="1" applyFill="1" applyBorder="1" applyAlignment="1" applyProtection="1">
      <alignment horizontal="center" shrinkToFit="1"/>
      <protection hidden="1"/>
    </xf>
    <xf numFmtId="192" fontId="6" fillId="7" borderId="116" xfId="0" applyNumberFormat="1" applyFont="1" applyFill="1" applyBorder="1" applyAlignment="1" applyProtection="1">
      <alignment horizontal="center" shrinkToFit="1"/>
      <protection hidden="1"/>
    </xf>
    <xf numFmtId="194" fontId="6" fillId="7" borderId="129" xfId="0" applyNumberFormat="1" applyFont="1" applyFill="1" applyBorder="1" applyAlignment="1" applyProtection="1">
      <alignment horizontal="center" shrinkToFit="1"/>
      <protection hidden="1"/>
    </xf>
    <xf numFmtId="196" fontId="6" fillId="7" borderId="113" xfId="0" applyNumberFormat="1" applyFont="1" applyFill="1" applyBorder="1" applyAlignment="1" applyProtection="1">
      <alignment horizontal="center" shrinkToFit="1"/>
      <protection hidden="1"/>
    </xf>
    <xf numFmtId="193" fontId="6" fillId="7" borderId="130" xfId="0" applyNumberFormat="1" applyFont="1" applyFill="1" applyBorder="1" applyAlignment="1" applyProtection="1">
      <alignment horizontal="center" shrinkToFit="1"/>
      <protection hidden="1"/>
    </xf>
    <xf numFmtId="196" fontId="6" fillId="7" borderId="195" xfId="0" applyNumberFormat="1" applyFont="1" applyFill="1" applyBorder="1" applyAlignment="1" applyProtection="1">
      <alignment horizontal="center" shrinkToFit="1"/>
      <protection hidden="1"/>
    </xf>
    <xf numFmtId="0" fontId="6" fillId="0" borderId="202" xfId="0" applyFont="1" applyBorder="1" applyAlignment="1" applyProtection="1">
      <alignment horizontal="right" shrinkToFit="1"/>
      <protection hidden="1"/>
    </xf>
    <xf numFmtId="197" fontId="6" fillId="7" borderId="203" xfId="0" applyNumberFormat="1" applyFont="1" applyFill="1" applyBorder="1" applyAlignment="1" applyProtection="1">
      <alignment horizontal="center" shrinkToFit="1"/>
      <protection hidden="1"/>
    </xf>
    <xf numFmtId="193" fontId="6" fillId="7" borderId="205" xfId="0" applyNumberFormat="1" applyFont="1" applyFill="1" applyBorder="1" applyAlignment="1" applyProtection="1">
      <alignment horizontal="center" shrinkToFit="1"/>
      <protection hidden="1"/>
    </xf>
    <xf numFmtId="0" fontId="6" fillId="0" borderId="206" xfId="0" applyFont="1" applyBorder="1" applyAlignment="1" applyProtection="1">
      <alignment horizontal="right" shrinkToFit="1"/>
      <protection hidden="1"/>
    </xf>
    <xf numFmtId="194" fontId="6" fillId="7" borderId="207" xfId="0" applyNumberFormat="1" applyFont="1" applyFill="1" applyBorder="1" applyAlignment="1" applyProtection="1">
      <alignment horizontal="center" shrinkToFit="1"/>
      <protection hidden="1"/>
    </xf>
    <xf numFmtId="184" fontId="6" fillId="7" borderId="208" xfId="0" applyNumberFormat="1" applyFont="1" applyFill="1" applyBorder="1" applyAlignment="1" applyProtection="1">
      <alignment horizontal="center" shrinkToFit="1"/>
      <protection hidden="1"/>
    </xf>
    <xf numFmtId="179" fontId="6" fillId="7" borderId="113" xfId="0" applyNumberFormat="1" applyFont="1" applyFill="1" applyBorder="1" applyAlignment="1" applyProtection="1">
      <alignment horizontal="center" shrinkToFit="1"/>
      <protection hidden="1"/>
    </xf>
    <xf numFmtId="179" fontId="6" fillId="7" borderId="123" xfId="0" applyNumberFormat="1" applyFont="1" applyFill="1" applyBorder="1" applyAlignment="1" applyProtection="1">
      <alignment horizontal="center" shrinkToFit="1"/>
      <protection hidden="1"/>
    </xf>
    <xf numFmtId="179" fontId="6" fillId="7" borderId="195" xfId="0" applyNumberFormat="1" applyFont="1" applyFill="1" applyBorder="1" applyAlignment="1" applyProtection="1">
      <alignment horizontal="center" shrinkToFit="1"/>
      <protection hidden="1"/>
    </xf>
    <xf numFmtId="176" fontId="6" fillId="7" borderId="104" xfId="0" applyNumberFormat="1" applyFont="1" applyFill="1" applyBorder="1" applyAlignment="1" applyProtection="1">
      <alignment horizontal="center" shrinkToFit="1"/>
      <protection hidden="1"/>
    </xf>
    <xf numFmtId="176" fontId="6" fillId="7" borderId="131" xfId="0" applyNumberFormat="1" applyFont="1" applyFill="1" applyBorder="1" applyAlignment="1" applyProtection="1">
      <alignment horizontal="center" shrinkToFit="1"/>
      <protection hidden="1"/>
    </xf>
    <xf numFmtId="194" fontId="6" fillId="7" borderId="133" xfId="0" applyNumberFormat="1" applyFont="1" applyFill="1" applyBorder="1" applyAlignment="1" applyProtection="1">
      <alignment horizontal="center" shrinkToFit="1"/>
      <protection hidden="1"/>
    </xf>
    <xf numFmtId="176" fontId="6" fillId="7" borderId="209" xfId="0" applyNumberFormat="1" applyFont="1" applyFill="1" applyBorder="1" applyAlignment="1" applyProtection="1">
      <alignment horizontal="center" shrinkToFit="1"/>
      <protection hidden="1"/>
    </xf>
    <xf numFmtId="174" fontId="6" fillId="7" borderId="104" xfId="0" applyNumberFormat="1" applyFont="1" applyFill="1" applyBorder="1" applyAlignment="1" applyProtection="1">
      <alignment horizontal="center" shrinkToFit="1"/>
      <protection hidden="1"/>
    </xf>
    <xf numFmtId="174" fontId="6" fillId="7" borderId="131" xfId="0" applyNumberFormat="1" applyFont="1" applyFill="1" applyBorder="1" applyAlignment="1" applyProtection="1">
      <alignment horizontal="center" shrinkToFit="1"/>
      <protection hidden="1"/>
    </xf>
    <xf numFmtId="193" fontId="6" fillId="7" borderId="133" xfId="0" applyNumberFormat="1" applyFont="1" applyFill="1" applyBorder="1" applyAlignment="1" applyProtection="1">
      <alignment horizontal="center" shrinkToFit="1"/>
      <protection hidden="1"/>
    </xf>
    <xf numFmtId="174" fontId="6" fillId="7" borderId="209" xfId="0" applyNumberFormat="1" applyFont="1" applyFill="1" applyBorder="1" applyAlignment="1" applyProtection="1">
      <alignment horizontal="center" shrinkToFit="1"/>
      <protection hidden="1"/>
    </xf>
    <xf numFmtId="174" fontId="6" fillId="7" borderId="114" xfId="0" applyNumberFormat="1" applyFont="1" applyFill="1" applyBorder="1" applyAlignment="1" applyProtection="1">
      <alignment horizontal="center" shrinkToFit="1"/>
      <protection hidden="1"/>
    </xf>
    <xf numFmtId="174" fontId="6" fillId="7" borderId="132" xfId="0" applyNumberFormat="1" applyFont="1" applyFill="1" applyBorder="1" applyAlignment="1" applyProtection="1">
      <alignment horizontal="center" shrinkToFit="1"/>
      <protection hidden="1"/>
    </xf>
    <xf numFmtId="193" fontId="6" fillId="7" borderId="134" xfId="0" applyNumberFormat="1" applyFont="1" applyFill="1" applyBorder="1" applyAlignment="1" applyProtection="1">
      <alignment horizontal="center" shrinkToFit="1"/>
      <protection hidden="1"/>
    </xf>
    <xf numFmtId="174" fontId="6" fillId="7" borderId="210" xfId="0" applyNumberFormat="1" applyFont="1" applyFill="1" applyBorder="1" applyAlignment="1" applyProtection="1">
      <alignment horizontal="center" shrinkToFit="1"/>
      <protection hidden="1"/>
    </xf>
    <xf numFmtId="193" fontId="6" fillId="7" borderId="125" xfId="0" applyNumberFormat="1" applyFont="1" applyFill="1" applyBorder="1" applyAlignment="1" applyProtection="1">
      <alignment horizontal="center" shrinkToFit="1"/>
      <protection hidden="1"/>
    </xf>
    <xf numFmtId="178" fontId="6" fillId="7" borderId="104" xfId="0" applyNumberFormat="1" applyFont="1" applyFill="1" applyBorder="1" applyAlignment="1" applyProtection="1">
      <alignment horizontal="center" shrinkToFit="1"/>
      <protection hidden="1"/>
    </xf>
    <xf numFmtId="178" fontId="6" fillId="7" borderId="131" xfId="0" applyNumberFormat="1" applyFont="1" applyFill="1" applyBorder="1" applyAlignment="1" applyProtection="1">
      <alignment horizontal="center" shrinkToFit="1"/>
      <protection hidden="1"/>
    </xf>
    <xf numFmtId="178" fontId="6" fillId="7" borderId="209" xfId="0" applyNumberFormat="1" applyFont="1" applyFill="1" applyBorder="1" applyAlignment="1" applyProtection="1">
      <alignment horizontal="center" shrinkToFit="1"/>
      <protection hidden="1"/>
    </xf>
    <xf numFmtId="177" fontId="6" fillId="7" borderId="137" xfId="0" applyNumberFormat="1" applyFont="1" applyFill="1" applyBorder="1" applyAlignment="1" applyProtection="1">
      <alignment horizontal="center" shrinkToFit="1"/>
      <protection hidden="1"/>
    </xf>
    <xf numFmtId="177" fontId="6" fillId="7" borderId="136" xfId="0" applyNumberFormat="1" applyFont="1" applyFill="1" applyBorder="1" applyAlignment="1" applyProtection="1">
      <alignment horizontal="center" shrinkToFit="1"/>
      <protection hidden="1"/>
    </xf>
    <xf numFmtId="193" fontId="6" fillId="7" borderId="135" xfId="0" applyNumberFormat="1" applyFont="1" applyFill="1" applyBorder="1" applyAlignment="1" applyProtection="1">
      <alignment horizontal="center" shrinkToFit="1"/>
      <protection hidden="1"/>
    </xf>
    <xf numFmtId="177" fontId="6" fillId="7" borderId="211" xfId="0" applyNumberFormat="1" applyFont="1" applyFill="1" applyBorder="1" applyAlignment="1" applyProtection="1">
      <alignment horizontal="center" shrinkToFit="1"/>
      <protection hidden="1"/>
    </xf>
    <xf numFmtId="0" fontId="16" fillId="0" borderId="10" xfId="0" applyFont="1" applyBorder="1" applyAlignment="1" applyProtection="1">
      <alignment horizontal="center" vertical="center" shrinkToFit="1"/>
      <protection hidden="1"/>
    </xf>
    <xf numFmtId="0" fontId="16" fillId="0" borderId="93" xfId="0" applyFont="1" applyBorder="1" applyAlignment="1" applyProtection="1">
      <alignment horizontal="center" vertical="center" shrinkToFit="1"/>
      <protection hidden="1"/>
    </xf>
    <xf numFmtId="0" fontId="16" fillId="0" borderId="78" xfId="0" applyFont="1" applyBorder="1" applyAlignment="1" applyProtection="1">
      <alignment horizontal="center" vertical="center" shrinkToFit="1"/>
      <protection hidden="1"/>
    </xf>
    <xf numFmtId="0" fontId="17" fillId="25" borderId="95" xfId="0" applyFont="1" applyFill="1" applyBorder="1" applyAlignment="1" applyProtection="1">
      <alignment horizontal="center" vertical="center" shrinkToFit="1"/>
      <protection hidden="1"/>
    </xf>
    <xf numFmtId="181" fontId="17" fillId="25" borderId="178" xfId="1" applyNumberFormat="1" applyFont="1" applyFill="1" applyBorder="1" applyAlignment="1" applyProtection="1">
      <alignment shrinkToFit="1"/>
      <protection hidden="1"/>
    </xf>
    <xf numFmtId="182" fontId="17" fillId="25" borderId="96" xfId="1" applyNumberFormat="1" applyFont="1" applyFill="1" applyBorder="1" applyAlignment="1" applyProtection="1">
      <alignment horizontal="center" shrinkToFit="1"/>
      <protection hidden="1"/>
    </xf>
    <xf numFmtId="180" fontId="19" fillId="25" borderId="101" xfId="1" applyNumberFormat="1" applyFont="1" applyFill="1" applyBorder="1" applyAlignment="1" applyProtection="1">
      <alignment horizontal="center" shrinkToFit="1"/>
      <protection hidden="1"/>
    </xf>
    <xf numFmtId="182" fontId="17" fillId="25" borderId="188" xfId="1" applyNumberFormat="1" applyFont="1" applyFill="1" applyBorder="1" applyAlignment="1" applyProtection="1">
      <alignment horizontal="center" shrinkToFit="1"/>
      <protection hidden="1"/>
    </xf>
    <xf numFmtId="194" fontId="17" fillId="25" borderId="164" xfId="1" applyNumberFormat="1" applyFont="1" applyFill="1" applyBorder="1" applyAlignment="1" applyProtection="1">
      <alignment horizontal="center" shrinkToFit="1"/>
      <protection hidden="1"/>
    </xf>
    <xf numFmtId="181" fontId="17" fillId="25" borderId="163" xfId="1" applyNumberFormat="1" applyFont="1" applyFill="1" applyBorder="1" applyAlignment="1" applyProtection="1">
      <alignment shrinkToFit="1"/>
      <protection hidden="1"/>
    </xf>
    <xf numFmtId="182" fontId="17" fillId="25" borderId="164" xfId="1" applyNumberFormat="1" applyFont="1" applyFill="1" applyBorder="1" applyAlignment="1" applyProtection="1">
      <alignment horizontal="center" shrinkToFit="1"/>
      <protection hidden="1"/>
    </xf>
    <xf numFmtId="194" fontId="17" fillId="25" borderId="158" xfId="1" applyNumberFormat="1" applyFont="1" applyFill="1" applyBorder="1" applyAlignment="1" applyProtection="1">
      <alignment horizontal="center" shrinkToFit="1"/>
      <protection hidden="1"/>
    </xf>
    <xf numFmtId="194" fontId="17" fillId="25" borderId="160" xfId="1" applyNumberFormat="1" applyFont="1" applyFill="1" applyBorder="1" applyAlignment="1" applyProtection="1">
      <alignment horizontal="center" shrinkToFit="1"/>
      <protection hidden="1"/>
    </xf>
    <xf numFmtId="194" fontId="17" fillId="25" borderId="162" xfId="1" applyNumberFormat="1" applyFont="1" applyFill="1" applyBorder="1" applyAlignment="1" applyProtection="1">
      <alignment horizontal="center" shrinkToFit="1"/>
      <protection hidden="1"/>
    </xf>
    <xf numFmtId="194" fontId="17" fillId="25" borderId="166" xfId="1" applyNumberFormat="1" applyFont="1" applyFill="1" applyBorder="1" applyAlignment="1" applyProtection="1">
      <alignment horizontal="center" shrinkToFit="1"/>
      <protection hidden="1"/>
    </xf>
    <xf numFmtId="194" fontId="17" fillId="25" borderId="168" xfId="1" applyNumberFormat="1" applyFont="1" applyFill="1" applyBorder="1" applyAlignment="1" applyProtection="1">
      <alignment horizontal="center" shrinkToFit="1"/>
      <protection hidden="1"/>
    </xf>
    <xf numFmtId="194" fontId="17" fillId="25" borderId="171" xfId="1" applyNumberFormat="1" applyFont="1" applyFill="1" applyBorder="1" applyAlignment="1" applyProtection="1">
      <alignment horizontal="center" vertical="center" shrinkToFit="1"/>
      <protection hidden="1"/>
    </xf>
    <xf numFmtId="0" fontId="4" fillId="7" borderId="26" xfId="0" applyFont="1" applyFill="1" applyBorder="1" applyAlignment="1" applyProtection="1">
      <alignment horizontal="center" shrinkToFit="1"/>
      <protection hidden="1"/>
    </xf>
    <xf numFmtId="0" fontId="4" fillId="7" borderId="213" xfId="0" applyFont="1" applyFill="1" applyBorder="1" applyAlignment="1" applyProtection="1">
      <alignment horizontal="center" shrinkToFit="1"/>
      <protection hidden="1"/>
    </xf>
    <xf numFmtId="0" fontId="4" fillId="7" borderId="74" xfId="0" applyFont="1" applyFill="1" applyBorder="1" applyAlignment="1" applyProtection="1">
      <alignment horizontal="center" shrinkToFit="1"/>
      <protection hidden="1"/>
    </xf>
    <xf numFmtId="200" fontId="4" fillId="0" borderId="214" xfId="0" applyNumberFormat="1" applyFont="1" applyBorder="1" applyAlignment="1" applyProtection="1">
      <alignment horizontal="center" shrinkToFit="1"/>
      <protection hidden="1"/>
    </xf>
    <xf numFmtId="189" fontId="16" fillId="0" borderId="231" xfId="1" applyNumberFormat="1" applyFont="1" applyFill="1" applyBorder="1" applyAlignment="1" applyProtection="1">
      <alignment horizontal="center" vertical="center" shrinkToFit="1"/>
      <protection hidden="1"/>
    </xf>
    <xf numFmtId="180" fontId="16" fillId="0" borderId="232" xfId="1" applyNumberFormat="1" applyFont="1" applyFill="1" applyBorder="1" applyAlignment="1" applyProtection="1">
      <alignment horizontal="center" vertical="center" shrinkToFit="1"/>
      <protection hidden="1"/>
    </xf>
    <xf numFmtId="189" fontId="16" fillId="0" borderId="232" xfId="1" applyNumberFormat="1" applyFont="1" applyFill="1" applyBorder="1" applyAlignment="1" applyProtection="1">
      <alignment horizontal="center" vertical="center" shrinkToFit="1"/>
      <protection hidden="1"/>
    </xf>
    <xf numFmtId="0" fontId="26" fillId="0" borderId="217" xfId="0" applyFont="1" applyBorder="1" applyAlignment="1" applyProtection="1">
      <alignment horizontal="right" vertical="center" shrinkToFit="1"/>
      <protection hidden="1"/>
    </xf>
    <xf numFmtId="0" fontId="26" fillId="0" borderId="229" xfId="0" applyFont="1" applyBorder="1" applyAlignment="1" applyProtection="1">
      <alignment horizontal="right" vertical="center" shrinkToFit="1"/>
      <protection hidden="1"/>
    </xf>
    <xf numFmtId="0" fontId="26" fillId="0" borderId="141" xfId="0" applyFont="1" applyBorder="1" applyAlignment="1" applyProtection="1">
      <alignment horizontal="right" vertical="center" shrinkToFit="1"/>
      <protection hidden="1"/>
    </xf>
    <xf numFmtId="188" fontId="16" fillId="0" borderId="221" xfId="1" applyNumberFormat="1" applyFont="1" applyFill="1" applyBorder="1" applyAlignment="1" applyProtection="1">
      <alignment horizontal="center" vertical="center" shrinkToFit="1"/>
      <protection hidden="1"/>
    </xf>
    <xf numFmtId="189" fontId="16" fillId="0" borderId="222" xfId="1" applyNumberFormat="1" applyFont="1" applyFill="1" applyBorder="1" applyAlignment="1" applyProtection="1">
      <alignment horizontal="center" vertical="center" shrinkToFit="1"/>
      <protection hidden="1"/>
    </xf>
    <xf numFmtId="180" fontId="16" fillId="0" borderId="223" xfId="1" applyNumberFormat="1" applyFont="1" applyFill="1" applyBorder="1" applyAlignment="1" applyProtection="1">
      <alignment horizontal="center" vertical="center" shrinkToFit="1"/>
      <protection hidden="1"/>
    </xf>
    <xf numFmtId="188" fontId="16" fillId="0" borderId="233" xfId="1" applyNumberFormat="1" applyFont="1" applyFill="1" applyBorder="1" applyAlignment="1" applyProtection="1">
      <alignment horizontal="center" vertical="center" shrinkToFit="1"/>
      <protection hidden="1"/>
    </xf>
    <xf numFmtId="181" fontId="16" fillId="18" borderId="180" xfId="1" applyNumberFormat="1" applyFont="1" applyFill="1" applyBorder="1" applyAlignment="1" applyProtection="1">
      <alignment shrinkToFit="1"/>
      <protection locked="0"/>
    </xf>
    <xf numFmtId="181" fontId="16" fillId="0" borderId="167" xfId="1" applyNumberFormat="1" applyFont="1" applyFill="1" applyBorder="1" applyAlignment="1" applyProtection="1">
      <alignment shrinkToFit="1"/>
      <protection hidden="1"/>
    </xf>
    <xf numFmtId="0" fontId="17" fillId="10" borderId="93" xfId="0" applyFont="1" applyFill="1" applyBorder="1" applyAlignment="1" applyProtection="1">
      <alignment horizontal="center" vertical="center" shrinkToFit="1"/>
      <protection locked="0"/>
    </xf>
    <xf numFmtId="0" fontId="28" fillId="28" borderId="0" xfId="2" applyFont="1" applyFill="1" applyAlignment="1">
      <alignment horizontal="center" vertical="center"/>
    </xf>
    <xf numFmtId="0" fontId="3" fillId="2" borderId="220" xfId="0" applyFont="1" applyFill="1" applyBorder="1" applyAlignment="1" applyProtection="1">
      <alignment horizontal="left" shrinkToFit="1"/>
      <protection locked="0"/>
    </xf>
    <xf numFmtId="0" fontId="3" fillId="0" borderId="220" xfId="0" applyFont="1" applyBorder="1" applyAlignment="1" applyProtection="1">
      <alignment horizontal="left" shrinkToFit="1"/>
      <protection hidden="1"/>
    </xf>
    <xf numFmtId="189" fontId="16" fillId="2" borderId="233" xfId="1" applyNumberFormat="1" applyFont="1" applyFill="1" applyBorder="1" applyAlignment="1" applyProtection="1">
      <alignment horizontal="center" vertical="center" shrinkToFit="1"/>
      <protection locked="0"/>
    </xf>
    <xf numFmtId="188" fontId="16" fillId="0" borderId="230" xfId="1" applyNumberFormat="1" applyFont="1" applyFill="1" applyBorder="1" applyAlignment="1" applyProtection="1">
      <alignment horizontal="center" vertical="center" shrinkToFit="1"/>
      <protection hidden="1"/>
    </xf>
    <xf numFmtId="189" fontId="16" fillId="2" borderId="231" xfId="1" applyNumberFormat="1" applyFont="1" applyFill="1" applyBorder="1" applyAlignment="1" applyProtection="1">
      <alignment horizontal="center" vertical="center" shrinkToFit="1"/>
      <protection locked="0" hidden="1"/>
    </xf>
    <xf numFmtId="0" fontId="4" fillId="0" borderId="246" xfId="0" applyFont="1" applyBorder="1" applyAlignment="1" applyProtection="1">
      <alignment shrinkToFit="1"/>
      <protection hidden="1"/>
    </xf>
    <xf numFmtId="0" fontId="4" fillId="0" borderId="249" xfId="0" applyFont="1" applyBorder="1" applyAlignment="1" applyProtection="1">
      <alignment shrinkToFit="1"/>
      <protection hidden="1"/>
    </xf>
    <xf numFmtId="0" fontId="4" fillId="0" borderId="259" xfId="0" applyFont="1" applyBorder="1" applyAlignment="1" applyProtection="1">
      <alignment shrinkToFit="1"/>
      <protection hidden="1"/>
    </xf>
    <xf numFmtId="0" fontId="4" fillId="0" borderId="258" xfId="0" applyFont="1" applyBorder="1" applyAlignment="1" applyProtection="1">
      <alignment shrinkToFit="1"/>
      <protection hidden="1"/>
    </xf>
    <xf numFmtId="0" fontId="4" fillId="0" borderId="251" xfId="0" applyFont="1" applyBorder="1" applyAlignment="1" applyProtection="1">
      <alignment shrinkToFit="1"/>
      <protection hidden="1"/>
    </xf>
    <xf numFmtId="200" fontId="4" fillId="0" borderId="247" xfId="0" applyNumberFormat="1" applyFont="1" applyBorder="1" applyAlignment="1" applyProtection="1">
      <alignment horizontal="center" shrinkToFit="1"/>
      <protection hidden="1"/>
    </xf>
    <xf numFmtId="200" fontId="4" fillId="0" borderId="248" xfId="0" applyNumberFormat="1" applyFont="1" applyBorder="1" applyAlignment="1" applyProtection="1">
      <alignment horizontal="center" shrinkToFit="1"/>
      <protection hidden="1"/>
    </xf>
    <xf numFmtId="200" fontId="4" fillId="0" borderId="9" xfId="0" applyNumberFormat="1" applyFont="1" applyBorder="1" applyAlignment="1" applyProtection="1">
      <alignment horizontal="center" shrinkToFit="1"/>
      <protection hidden="1"/>
    </xf>
    <xf numFmtId="200" fontId="4" fillId="0" borderId="250" xfId="0" applyNumberFormat="1" applyFont="1" applyBorder="1" applyAlignment="1" applyProtection="1">
      <alignment horizontal="center" shrinkToFit="1"/>
      <protection hidden="1"/>
    </xf>
    <xf numFmtId="200" fontId="4" fillId="0" borderId="260" xfId="0" applyNumberFormat="1" applyFont="1" applyBorder="1" applyAlignment="1" applyProtection="1">
      <alignment horizontal="center" shrinkToFit="1"/>
      <protection hidden="1"/>
    </xf>
    <xf numFmtId="200" fontId="4" fillId="0" borderId="261" xfId="0" applyNumberFormat="1" applyFont="1" applyBorder="1" applyAlignment="1" applyProtection="1">
      <alignment horizontal="center" shrinkToFit="1"/>
      <protection hidden="1"/>
    </xf>
    <xf numFmtId="200" fontId="4" fillId="0" borderId="25" xfId="0" applyNumberFormat="1" applyFont="1" applyBorder="1" applyAlignment="1" applyProtection="1">
      <alignment horizontal="center" shrinkToFit="1"/>
      <protection hidden="1"/>
    </xf>
    <xf numFmtId="200" fontId="4" fillId="0" borderId="252" xfId="0" applyNumberFormat="1" applyFont="1" applyBorder="1" applyAlignment="1" applyProtection="1">
      <alignment horizontal="center" shrinkToFit="1"/>
      <protection hidden="1"/>
    </xf>
    <xf numFmtId="200" fontId="4" fillId="0" borderId="253" xfId="0" applyNumberFormat="1" applyFont="1" applyBorder="1" applyAlignment="1" applyProtection="1">
      <alignment horizontal="center" shrinkToFit="1"/>
      <protection hidden="1"/>
    </xf>
    <xf numFmtId="167" fontId="4" fillId="0" borderId="247" xfId="0" applyNumberFormat="1" applyFont="1" applyBorder="1" applyAlignment="1" applyProtection="1">
      <alignment horizontal="center" shrinkToFit="1"/>
      <protection hidden="1"/>
    </xf>
    <xf numFmtId="167" fontId="4" fillId="0" borderId="9" xfId="0" applyNumberFormat="1" applyFont="1" applyBorder="1" applyAlignment="1" applyProtection="1">
      <alignment horizontal="center" shrinkToFit="1"/>
      <protection hidden="1"/>
    </xf>
    <xf numFmtId="167" fontId="4" fillId="0" borderId="260" xfId="0" applyNumberFormat="1" applyFont="1" applyBorder="1" applyAlignment="1" applyProtection="1">
      <alignment horizontal="center" shrinkToFit="1"/>
      <protection hidden="1"/>
    </xf>
    <xf numFmtId="167" fontId="4" fillId="0" borderId="25" xfId="0" applyNumberFormat="1" applyFont="1" applyBorder="1" applyAlignment="1" applyProtection="1">
      <alignment horizontal="center" shrinkToFit="1"/>
      <protection hidden="1"/>
    </xf>
    <xf numFmtId="167" fontId="4" fillId="0" borderId="252" xfId="0" applyNumberFormat="1" applyFont="1" applyBorder="1" applyAlignment="1" applyProtection="1">
      <alignment horizontal="center" shrinkToFit="1"/>
      <protection hidden="1"/>
    </xf>
    <xf numFmtId="164" fontId="30" fillId="9" borderId="243" xfId="0" applyNumberFormat="1" applyFont="1" applyFill="1" applyBorder="1" applyAlignment="1" applyProtection="1">
      <alignment horizontal="center" shrinkToFit="1"/>
      <protection hidden="1"/>
    </xf>
    <xf numFmtId="0" fontId="30" fillId="0" borderId="244" xfId="0" applyFont="1" applyBorder="1" applyAlignment="1" applyProtection="1">
      <alignment horizontal="center" shrinkToFit="1"/>
      <protection hidden="1"/>
    </xf>
    <xf numFmtId="0" fontId="30" fillId="0" borderId="245" xfId="0" applyFont="1" applyBorder="1" applyAlignment="1" applyProtection="1">
      <alignment horizontal="center" shrinkToFit="1"/>
      <protection hidden="1"/>
    </xf>
    <xf numFmtId="164" fontId="4" fillId="0" borderId="246" xfId="0" applyNumberFormat="1" applyFont="1" applyBorder="1" applyAlignment="1" applyProtection="1">
      <alignment shrinkToFit="1"/>
      <protection hidden="1"/>
    </xf>
    <xf numFmtId="164" fontId="4" fillId="0" borderId="249" xfId="0" applyNumberFormat="1" applyFont="1" applyBorder="1" applyAlignment="1" applyProtection="1">
      <alignment shrinkToFit="1"/>
      <protection hidden="1"/>
    </xf>
    <xf numFmtId="164" fontId="4" fillId="0" borderId="259" xfId="0" applyNumberFormat="1" applyFont="1" applyBorder="1" applyAlignment="1" applyProtection="1">
      <alignment shrinkToFit="1"/>
      <protection hidden="1"/>
    </xf>
    <xf numFmtId="164" fontId="4" fillId="0" borderId="258" xfId="0" applyNumberFormat="1" applyFont="1" applyBorder="1" applyAlignment="1" applyProtection="1">
      <alignment shrinkToFit="1"/>
      <protection hidden="1"/>
    </xf>
    <xf numFmtId="164" fontId="4" fillId="0" borderId="251" xfId="0" applyNumberFormat="1" applyFont="1" applyBorder="1" applyAlignment="1" applyProtection="1">
      <alignment shrinkToFit="1"/>
      <protection hidden="1"/>
    </xf>
    <xf numFmtId="165" fontId="6" fillId="0" borderId="218" xfId="0" applyNumberFormat="1" applyFont="1" applyBorder="1" applyAlignment="1" applyProtection="1">
      <alignment horizontal="center" shrinkToFit="1"/>
      <protection hidden="1"/>
    </xf>
    <xf numFmtId="165" fontId="6" fillId="0" borderId="72" xfId="0" applyNumberFormat="1" applyFont="1" applyBorder="1" applyAlignment="1" applyProtection="1">
      <alignment horizontal="center" shrinkToFit="1"/>
      <protection hidden="1"/>
    </xf>
    <xf numFmtId="165" fontId="3" fillId="7" borderId="262" xfId="0" applyNumberFormat="1" applyFont="1" applyFill="1" applyBorder="1" applyAlignment="1" applyProtection="1">
      <alignment horizontal="center" shrinkToFit="1"/>
      <protection hidden="1"/>
    </xf>
    <xf numFmtId="185" fontId="11" fillId="2" borderId="263" xfId="0" applyNumberFormat="1" applyFont="1" applyFill="1" applyBorder="1" applyAlignment="1" applyProtection="1">
      <alignment horizontal="center" shrinkToFit="1"/>
      <protection locked="0"/>
    </xf>
    <xf numFmtId="185" fontId="11" fillId="2" borderId="237" xfId="0" applyNumberFormat="1" applyFont="1" applyFill="1" applyBorder="1" applyAlignment="1" applyProtection="1">
      <alignment horizontal="center" shrinkToFit="1"/>
      <protection locked="0"/>
    </xf>
    <xf numFmtId="185" fontId="11" fillId="2" borderId="255" xfId="0" applyNumberFormat="1" applyFont="1" applyFill="1" applyBorder="1" applyAlignment="1" applyProtection="1">
      <alignment horizontal="center" shrinkToFit="1"/>
      <protection locked="0"/>
    </xf>
    <xf numFmtId="165" fontId="6" fillId="0" borderId="264" xfId="0" applyNumberFormat="1" applyFont="1" applyBorder="1" applyAlignment="1" applyProtection="1">
      <alignment horizontal="center" shrinkToFit="1"/>
      <protection hidden="1"/>
    </xf>
    <xf numFmtId="185" fontId="11" fillId="0" borderId="263" xfId="0" applyNumberFormat="1" applyFont="1" applyBorder="1" applyAlignment="1" applyProtection="1">
      <alignment horizontal="center" shrinkToFit="1"/>
      <protection hidden="1"/>
    </xf>
    <xf numFmtId="185" fontId="11" fillId="0" borderId="237" xfId="0" applyNumberFormat="1" applyFont="1" applyBorder="1" applyAlignment="1" applyProtection="1">
      <alignment horizontal="center" shrinkToFit="1"/>
      <protection hidden="1"/>
    </xf>
    <xf numFmtId="185" fontId="11" fillId="0" borderId="255" xfId="0" applyNumberFormat="1" applyFont="1" applyBorder="1" applyAlignment="1" applyProtection="1">
      <alignment horizontal="center" shrinkToFit="1"/>
      <protection hidden="1"/>
    </xf>
    <xf numFmtId="183" fontId="6" fillId="11" borderId="91" xfId="0" applyNumberFormat="1" applyFont="1" applyFill="1" applyBorder="1" applyAlignment="1" applyProtection="1">
      <alignment horizontal="center" shrinkToFit="1"/>
      <protection hidden="1"/>
    </xf>
    <xf numFmtId="0" fontId="1" fillId="19" borderId="60" xfId="0" applyFont="1" applyFill="1" applyBorder="1" applyAlignment="1" applyProtection="1">
      <alignment horizontal="center" vertical="center" wrapText="1"/>
      <protection hidden="1"/>
    </xf>
    <xf numFmtId="185" fontId="11" fillId="0" borderId="18" xfId="0" applyNumberFormat="1" applyFont="1" applyBorder="1" applyAlignment="1" applyProtection="1">
      <alignment horizontal="center" shrinkToFit="1"/>
      <protection hidden="1"/>
    </xf>
    <xf numFmtId="185" fontId="11" fillId="0" borderId="19" xfId="0" applyNumberFormat="1" applyFont="1" applyBorder="1" applyAlignment="1" applyProtection="1">
      <alignment horizontal="center" shrinkToFit="1"/>
      <protection hidden="1"/>
    </xf>
    <xf numFmtId="185" fontId="11" fillId="7" borderId="257" xfId="0" applyNumberFormat="1" applyFont="1" applyFill="1" applyBorder="1" applyAlignment="1" applyProtection="1">
      <alignment horizontal="center" shrinkToFit="1"/>
      <protection hidden="1"/>
    </xf>
    <xf numFmtId="0" fontId="1" fillId="19" borderId="46" xfId="0" applyFont="1" applyFill="1" applyBorder="1" applyAlignment="1" applyProtection="1">
      <alignment horizontal="center" vertical="center" wrapText="1"/>
      <protection hidden="1"/>
    </xf>
    <xf numFmtId="185" fontId="11" fillId="2" borderId="242" xfId="0" applyNumberFormat="1" applyFont="1" applyFill="1" applyBorder="1" applyAlignment="1" applyProtection="1">
      <alignment horizontal="center" shrinkToFit="1"/>
      <protection locked="0"/>
    </xf>
    <xf numFmtId="185" fontId="11" fillId="2" borderId="15" xfId="0" applyNumberFormat="1" applyFont="1" applyFill="1" applyBorder="1" applyAlignment="1" applyProtection="1">
      <alignment horizontal="center" shrinkToFit="1"/>
      <protection locked="0"/>
    </xf>
    <xf numFmtId="185" fontId="11" fillId="2" borderId="77" xfId="0" applyNumberFormat="1" applyFont="1" applyFill="1" applyBorder="1" applyAlignment="1" applyProtection="1">
      <alignment horizontal="center" shrinkToFit="1"/>
      <protection locked="0"/>
    </xf>
    <xf numFmtId="185" fontId="11" fillId="2" borderId="17" xfId="0" applyNumberFormat="1" applyFont="1" applyFill="1" applyBorder="1" applyAlignment="1" applyProtection="1">
      <alignment horizontal="center" shrinkToFit="1"/>
      <protection locked="0"/>
    </xf>
    <xf numFmtId="185" fontId="11" fillId="2" borderId="241" xfId="0" applyNumberFormat="1" applyFont="1" applyFill="1" applyBorder="1" applyAlignment="1" applyProtection="1">
      <alignment horizontal="center" shrinkToFit="1"/>
      <protection locked="0"/>
    </xf>
    <xf numFmtId="185" fontId="11" fillId="2" borderId="273" xfId="0" applyNumberFormat="1" applyFont="1" applyFill="1" applyBorder="1" applyAlignment="1" applyProtection="1">
      <alignment horizontal="center" shrinkToFit="1"/>
      <protection locked="0"/>
    </xf>
    <xf numFmtId="185" fontId="11" fillId="7" borderId="256" xfId="0" applyNumberFormat="1" applyFont="1" applyFill="1" applyBorder="1" applyAlignment="1" applyProtection="1">
      <alignment horizontal="center" shrinkToFit="1"/>
      <protection hidden="1"/>
    </xf>
    <xf numFmtId="185" fontId="11" fillId="0" borderId="242" xfId="0" applyNumberFormat="1" applyFont="1" applyBorder="1" applyAlignment="1" applyProtection="1">
      <alignment horizontal="center" shrinkToFit="1"/>
      <protection hidden="1"/>
    </xf>
    <xf numFmtId="185" fontId="11" fillId="0" borderId="15" xfId="0" applyNumberFormat="1" applyFont="1" applyBorder="1" applyAlignment="1" applyProtection="1">
      <alignment horizontal="center" shrinkToFit="1"/>
      <protection hidden="1"/>
    </xf>
    <xf numFmtId="185" fontId="11" fillId="0" borderId="77" xfId="0" applyNumberFormat="1" applyFont="1" applyBorder="1" applyAlignment="1" applyProtection="1">
      <alignment horizontal="center" shrinkToFit="1"/>
      <protection hidden="1"/>
    </xf>
    <xf numFmtId="185" fontId="11" fillId="0" borderId="17" xfId="0" applyNumberFormat="1" applyFont="1" applyBorder="1" applyAlignment="1" applyProtection="1">
      <alignment horizontal="center" shrinkToFit="1"/>
      <protection hidden="1"/>
    </xf>
    <xf numFmtId="185" fontId="11" fillId="0" borderId="241" xfId="0" applyNumberFormat="1" applyFont="1" applyBorder="1" applyAlignment="1" applyProtection="1">
      <alignment horizontal="center" shrinkToFit="1"/>
      <protection hidden="1"/>
    </xf>
    <xf numFmtId="185" fontId="11" fillId="0" borderId="273" xfId="0" applyNumberFormat="1" applyFont="1" applyBorder="1" applyAlignment="1" applyProtection="1">
      <alignment horizontal="center" shrinkToFit="1"/>
      <protection hidden="1"/>
    </xf>
    <xf numFmtId="0" fontId="6" fillId="0" borderId="257" xfId="0" applyFont="1" applyBorder="1" applyAlignment="1" applyProtection="1">
      <alignment horizontal="right" shrinkToFit="1"/>
      <protection hidden="1"/>
    </xf>
    <xf numFmtId="169" fontId="3" fillId="2" borderId="33" xfId="0" applyNumberFormat="1" applyFont="1" applyFill="1" applyBorder="1" applyAlignment="1" applyProtection="1">
      <alignment horizontal="center" shrinkToFit="1"/>
      <protection locked="0" hidden="1"/>
    </xf>
    <xf numFmtId="0" fontId="3" fillId="19" borderId="141" xfId="0" applyFont="1" applyFill="1" applyBorder="1" applyAlignment="1" applyProtection="1">
      <alignment horizontal="center" vertical="center" wrapText="1"/>
      <protection hidden="1"/>
    </xf>
    <xf numFmtId="164" fontId="13" fillId="0" borderId="267" xfId="0" applyNumberFormat="1" applyFont="1" applyBorder="1" applyAlignment="1" applyProtection="1">
      <alignment horizontal="center" vertical="center" wrapText="1" shrinkToFit="1"/>
      <protection hidden="1"/>
    </xf>
    <xf numFmtId="0" fontId="6" fillId="0" borderId="269" xfId="0" applyFont="1" applyBorder="1" applyAlignment="1" applyProtection="1">
      <alignment horizontal="center" shrinkToFit="1"/>
      <protection hidden="1"/>
    </xf>
    <xf numFmtId="170" fontId="3" fillId="5" borderId="284" xfId="0" applyNumberFormat="1" applyFont="1" applyFill="1" applyBorder="1" applyAlignment="1" applyProtection="1">
      <alignment horizontal="center" shrinkToFit="1"/>
      <protection hidden="1"/>
    </xf>
    <xf numFmtId="168" fontId="12" fillId="0" borderId="285" xfId="0" applyNumberFormat="1" applyFont="1" applyBorder="1" applyAlignment="1" applyProtection="1">
      <alignment horizontal="center" vertical="center"/>
      <protection hidden="1"/>
    </xf>
    <xf numFmtId="0" fontId="6" fillId="0" borderId="268" xfId="0" applyFont="1" applyBorder="1" applyAlignment="1" applyProtection="1">
      <alignment horizontal="center" shrinkToFit="1"/>
      <protection hidden="1"/>
    </xf>
    <xf numFmtId="169" fontId="6" fillId="0" borderId="286" xfId="0" applyNumberFormat="1" applyFont="1" applyBorder="1" applyAlignment="1" applyProtection="1">
      <alignment horizontal="center" shrinkToFit="1"/>
      <protection hidden="1"/>
    </xf>
    <xf numFmtId="169" fontId="6" fillId="15" borderId="281" xfId="0" applyNumberFormat="1" applyFont="1" applyFill="1" applyBorder="1" applyAlignment="1" applyProtection="1">
      <alignment horizontal="center" shrinkToFit="1"/>
      <protection hidden="1"/>
    </xf>
    <xf numFmtId="170" fontId="3" fillId="5" borderId="287" xfId="0" applyNumberFormat="1" applyFont="1" applyFill="1" applyBorder="1" applyAlignment="1" applyProtection="1">
      <alignment horizontal="center" shrinkToFit="1"/>
      <protection hidden="1"/>
    </xf>
    <xf numFmtId="168" fontId="12" fillId="0" borderId="288" xfId="0" applyNumberFormat="1" applyFont="1" applyBorder="1" applyAlignment="1" applyProtection="1">
      <alignment horizontal="center" vertical="center"/>
      <protection hidden="1"/>
    </xf>
    <xf numFmtId="0" fontId="3" fillId="0" borderId="276" xfId="0" applyFont="1" applyBorder="1" applyAlignment="1" applyProtection="1">
      <alignment horizontal="center" shrinkToFit="1"/>
      <protection hidden="1"/>
    </xf>
    <xf numFmtId="171" fontId="3" fillId="0" borderId="273" xfId="0" applyNumberFormat="1" applyFont="1" applyBorder="1" applyAlignment="1" applyProtection="1">
      <alignment horizontal="center" shrinkToFit="1"/>
      <protection hidden="1"/>
    </xf>
    <xf numFmtId="171" fontId="3" fillId="15" borderId="257" xfId="0" applyNumberFormat="1" applyFont="1" applyFill="1" applyBorder="1" applyAlignment="1" applyProtection="1">
      <alignment horizontal="center" shrinkToFit="1"/>
      <protection hidden="1"/>
    </xf>
    <xf numFmtId="170" fontId="3" fillId="5" borderId="210" xfId="0" applyNumberFormat="1" applyFont="1" applyFill="1" applyBorder="1" applyAlignment="1" applyProtection="1">
      <alignment horizontal="center" shrinkToFit="1"/>
      <protection hidden="1"/>
    </xf>
    <xf numFmtId="164" fontId="13" fillId="0" borderId="289" xfId="0" applyNumberFormat="1" applyFont="1" applyBorder="1" applyAlignment="1" applyProtection="1">
      <alignment horizontal="center" vertical="center" wrapText="1" shrinkToFit="1"/>
      <protection hidden="1"/>
    </xf>
    <xf numFmtId="0" fontId="1" fillId="19" borderId="291" xfId="0" applyFont="1" applyFill="1" applyBorder="1" applyAlignment="1" applyProtection="1">
      <alignment horizontal="center" vertical="center" wrapText="1"/>
      <protection hidden="1"/>
    </xf>
    <xf numFmtId="185" fontId="11" fillId="15" borderId="41" xfId="0" applyNumberFormat="1" applyFont="1" applyFill="1" applyBorder="1" applyAlignment="1" applyProtection="1">
      <alignment horizontal="center" shrinkToFit="1"/>
      <protection hidden="1"/>
    </xf>
    <xf numFmtId="185" fontId="11" fillId="15" borderId="43" xfId="0" applyNumberFormat="1" applyFont="1" applyFill="1" applyBorder="1" applyAlignment="1" applyProtection="1">
      <alignment horizontal="center" shrinkToFit="1"/>
      <protection hidden="1"/>
    </xf>
    <xf numFmtId="185" fontId="11" fillId="11" borderId="241" xfId="0" applyNumberFormat="1" applyFont="1" applyFill="1" applyBorder="1" applyAlignment="1" applyProtection="1">
      <alignment horizontal="center" shrinkToFit="1"/>
      <protection hidden="1"/>
    </xf>
    <xf numFmtId="185" fontId="11" fillId="15" borderId="256" xfId="0" applyNumberFormat="1" applyFont="1" applyFill="1" applyBorder="1" applyAlignment="1" applyProtection="1">
      <alignment horizontal="center" shrinkToFit="1"/>
      <protection hidden="1"/>
    </xf>
    <xf numFmtId="0" fontId="7" fillId="0" borderId="0" xfId="0" applyFont="1" applyProtection="1">
      <protection hidden="1"/>
    </xf>
    <xf numFmtId="169" fontId="6" fillId="0" borderId="0" xfId="0" applyNumberFormat="1" applyFont="1" applyProtection="1">
      <protection hidden="1"/>
    </xf>
    <xf numFmtId="199" fontId="6" fillId="14" borderId="293" xfId="1" applyNumberFormat="1" applyFont="1" applyFill="1" applyBorder="1" applyAlignment="1" applyProtection="1">
      <alignment horizontal="center" shrinkToFit="1"/>
      <protection locked="0"/>
    </xf>
    <xf numFmtId="194" fontId="6" fillId="7" borderId="294" xfId="0" applyNumberFormat="1" applyFont="1" applyFill="1" applyBorder="1" applyAlignment="1" applyProtection="1">
      <alignment horizontal="center" shrinkToFit="1"/>
      <protection hidden="1"/>
    </xf>
    <xf numFmtId="175" fontId="6" fillId="7" borderId="295" xfId="0" applyNumberFormat="1" applyFont="1" applyFill="1" applyBorder="1" applyAlignment="1" applyProtection="1">
      <alignment horizontal="center" shrinkToFit="1"/>
      <protection hidden="1"/>
    </xf>
    <xf numFmtId="194" fontId="6" fillId="7" borderId="296" xfId="0" applyNumberFormat="1" applyFont="1" applyFill="1" applyBorder="1" applyAlignment="1" applyProtection="1">
      <alignment horizontal="center" shrinkToFit="1"/>
      <protection hidden="1"/>
    </xf>
    <xf numFmtId="175" fontId="6" fillId="7" borderId="292" xfId="0" applyNumberFormat="1" applyFont="1" applyFill="1" applyBorder="1" applyAlignment="1" applyProtection="1">
      <alignment horizontal="center" shrinkToFit="1"/>
      <protection hidden="1"/>
    </xf>
    <xf numFmtId="0" fontId="2" fillId="0" borderId="255" xfId="0" applyFont="1" applyBorder="1" applyAlignment="1" applyProtection="1">
      <alignment horizontal="left" shrinkToFit="1"/>
      <protection hidden="1"/>
    </xf>
    <xf numFmtId="0" fontId="1" fillId="19" borderId="216" xfId="0" applyFont="1" applyFill="1" applyBorder="1" applyAlignment="1" applyProtection="1">
      <alignment horizontal="center" vertical="center" wrapText="1"/>
      <protection hidden="1"/>
    </xf>
    <xf numFmtId="0" fontId="1" fillId="19" borderId="297" xfId="0" applyFont="1" applyFill="1" applyBorder="1" applyAlignment="1" applyProtection="1">
      <alignment horizontal="center" vertical="center" wrapText="1"/>
      <protection hidden="1"/>
    </xf>
    <xf numFmtId="0" fontId="1" fillId="19" borderId="298" xfId="0" applyFont="1" applyFill="1" applyBorder="1" applyAlignment="1" applyProtection="1">
      <alignment horizontal="center" vertical="center" wrapText="1"/>
      <protection hidden="1"/>
    </xf>
    <xf numFmtId="185" fontId="11" fillId="0" borderId="299" xfId="0" applyNumberFormat="1" applyFont="1" applyBorder="1" applyAlignment="1" applyProtection="1">
      <alignment horizontal="center" shrinkToFit="1"/>
      <protection hidden="1"/>
    </xf>
    <xf numFmtId="185" fontId="11" fillId="0" borderId="149" xfId="0" applyNumberFormat="1" applyFont="1" applyBorder="1" applyAlignment="1" applyProtection="1">
      <alignment horizontal="center" shrinkToFit="1"/>
      <protection hidden="1"/>
    </xf>
    <xf numFmtId="185" fontId="11" fillId="0" borderId="300" xfId="0" applyNumberFormat="1" applyFont="1" applyBorder="1" applyAlignment="1" applyProtection="1">
      <alignment horizontal="center" shrinkToFit="1"/>
      <protection hidden="1"/>
    </xf>
    <xf numFmtId="185" fontId="11" fillId="0" borderId="215" xfId="0" applyNumberFormat="1" applyFont="1" applyBorder="1" applyAlignment="1" applyProtection="1">
      <alignment horizontal="center" shrinkToFit="1"/>
      <protection hidden="1"/>
    </xf>
    <xf numFmtId="185" fontId="11" fillId="0" borderId="143" xfId="0" applyNumberFormat="1" applyFont="1" applyBorder="1" applyAlignment="1" applyProtection="1">
      <alignment horizontal="center" shrinkToFit="1"/>
      <protection hidden="1"/>
    </xf>
    <xf numFmtId="185" fontId="11" fillId="0" borderId="301" xfId="0" applyNumberFormat="1" applyFont="1" applyBorder="1" applyAlignment="1" applyProtection="1">
      <alignment horizontal="center" shrinkToFit="1"/>
      <protection hidden="1"/>
    </xf>
    <xf numFmtId="185" fontId="11" fillId="11" borderId="302" xfId="0" applyNumberFormat="1" applyFont="1" applyFill="1" applyBorder="1" applyAlignment="1" applyProtection="1">
      <alignment horizontal="center" shrinkToFit="1"/>
      <protection hidden="1"/>
    </xf>
    <xf numFmtId="185" fontId="11" fillId="11" borderId="252" xfId="0" applyNumberFormat="1" applyFont="1" applyFill="1" applyBorder="1" applyAlignment="1" applyProtection="1">
      <alignment horizontal="center" shrinkToFit="1"/>
      <protection hidden="1"/>
    </xf>
    <xf numFmtId="185" fontId="11" fillId="7" borderId="303" xfId="0" applyNumberFormat="1" applyFont="1" applyFill="1" applyBorder="1" applyAlignment="1" applyProtection="1">
      <alignment horizontal="center" shrinkToFit="1"/>
      <protection hidden="1"/>
    </xf>
    <xf numFmtId="0" fontId="3" fillId="19" borderId="223" xfId="0" applyFont="1" applyFill="1" applyBorder="1" applyAlignment="1" applyProtection="1">
      <alignment horizontal="center" vertical="center" wrapText="1"/>
      <protection hidden="1"/>
    </xf>
    <xf numFmtId="191" fontId="6" fillId="0" borderId="142" xfId="0" applyNumberFormat="1" applyFont="1" applyBorder="1" applyAlignment="1" applyProtection="1">
      <alignment horizontal="center" shrinkToFit="1"/>
      <protection hidden="1"/>
    </xf>
    <xf numFmtId="191" fontId="6" fillId="0" borderId="213" xfId="0" applyNumberFormat="1" applyFont="1" applyBorder="1" applyAlignment="1" applyProtection="1">
      <alignment horizontal="center" shrinkToFit="1"/>
      <protection hidden="1"/>
    </xf>
    <xf numFmtId="191" fontId="6" fillId="0" borderId="71" xfId="0" applyNumberFormat="1" applyFont="1" applyBorder="1" applyAlignment="1" applyProtection="1">
      <alignment horizontal="center" shrinkToFit="1"/>
      <protection hidden="1"/>
    </xf>
    <xf numFmtId="0" fontId="3" fillId="19" borderId="221" xfId="0" applyFont="1" applyFill="1" applyBorder="1" applyAlignment="1" applyProtection="1">
      <alignment horizontal="center" vertical="center"/>
      <protection hidden="1"/>
    </xf>
    <xf numFmtId="0" fontId="3" fillId="19" borderId="222" xfId="0" applyFont="1" applyFill="1" applyBorder="1" applyAlignment="1" applyProtection="1">
      <alignment horizontal="center" vertical="center"/>
      <protection hidden="1"/>
    </xf>
    <xf numFmtId="0" fontId="1" fillId="19" borderId="307" xfId="0" applyFont="1" applyFill="1" applyBorder="1" applyAlignment="1" applyProtection="1">
      <alignment horizontal="center" vertical="center" wrapText="1"/>
      <protection hidden="1"/>
    </xf>
    <xf numFmtId="167" fontId="6" fillId="0" borderId="304" xfId="0" applyNumberFormat="1" applyFont="1" applyBorder="1" applyAlignment="1" applyProtection="1">
      <alignment horizontal="center" shrinkToFit="1"/>
      <protection hidden="1"/>
    </xf>
    <xf numFmtId="167" fontId="6" fillId="0" borderId="149" xfId="0" applyNumberFormat="1" applyFont="1" applyBorder="1" applyAlignment="1" applyProtection="1">
      <alignment horizontal="center" shrinkToFit="1"/>
      <protection hidden="1"/>
    </xf>
    <xf numFmtId="167" fontId="6" fillId="0" borderId="300" xfId="0" applyNumberFormat="1" applyFont="1" applyBorder="1" applyAlignment="1" applyProtection="1">
      <alignment horizontal="center" shrinkToFit="1"/>
      <protection hidden="1"/>
    </xf>
    <xf numFmtId="167" fontId="6" fillId="0" borderId="249" xfId="0" applyNumberFormat="1" applyFont="1" applyBorder="1" applyAlignment="1" applyProtection="1">
      <alignment horizontal="center" shrinkToFit="1"/>
      <protection hidden="1"/>
    </xf>
    <xf numFmtId="167" fontId="6" fillId="0" borderId="143" xfId="0" applyNumberFormat="1" applyFont="1" applyBorder="1" applyAlignment="1" applyProtection="1">
      <alignment horizontal="center" shrinkToFit="1"/>
      <protection hidden="1"/>
    </xf>
    <xf numFmtId="167" fontId="6" fillId="0" borderId="301" xfId="0" applyNumberFormat="1" applyFont="1" applyBorder="1" applyAlignment="1" applyProtection="1">
      <alignment horizontal="center" shrinkToFit="1"/>
      <protection hidden="1"/>
    </xf>
    <xf numFmtId="167" fontId="6" fillId="0" borderId="27" xfId="0" applyNumberFormat="1" applyFont="1" applyBorder="1" applyAlignment="1" applyProtection="1">
      <alignment horizontal="center" shrinkToFit="1"/>
      <protection hidden="1"/>
    </xf>
    <xf numFmtId="167" fontId="6" fillId="0" borderId="308" xfId="0" applyNumberFormat="1" applyFont="1" applyBorder="1" applyAlignment="1" applyProtection="1">
      <alignment horizontal="center" shrinkToFit="1"/>
      <protection hidden="1"/>
    </xf>
    <xf numFmtId="167" fontId="6" fillId="0" borderId="251" xfId="0" applyNumberFormat="1" applyFont="1" applyBorder="1" applyAlignment="1" applyProtection="1">
      <alignment horizontal="center" shrinkToFit="1"/>
      <protection hidden="1"/>
    </xf>
    <xf numFmtId="167" fontId="6" fillId="0" borderId="252" xfId="0" applyNumberFormat="1" applyFont="1" applyBorder="1" applyAlignment="1" applyProtection="1">
      <alignment horizontal="center" shrinkToFit="1"/>
      <protection hidden="1"/>
    </xf>
    <xf numFmtId="167" fontId="6" fillId="0" borderId="303" xfId="0" applyNumberFormat="1" applyFont="1" applyBorder="1" applyAlignment="1" applyProtection="1">
      <alignment horizontal="center" shrinkToFit="1"/>
      <protection hidden="1"/>
    </xf>
    <xf numFmtId="165" fontId="1" fillId="0" borderId="309" xfId="0" applyNumberFormat="1" applyFont="1" applyBorder="1" applyAlignment="1" applyProtection="1">
      <alignment horizontal="center" shrinkToFit="1"/>
      <protection hidden="1"/>
    </xf>
    <xf numFmtId="167" fontId="6" fillId="2" borderId="304" xfId="0" applyNumberFormat="1" applyFont="1" applyFill="1" applyBorder="1" applyAlignment="1" applyProtection="1">
      <alignment horizontal="center" shrinkToFit="1"/>
      <protection locked="0"/>
    </xf>
    <xf numFmtId="167" fontId="6" fillId="2" borderId="149" xfId="0" applyNumberFormat="1" applyFont="1" applyFill="1" applyBorder="1" applyAlignment="1" applyProtection="1">
      <alignment horizontal="center" shrinkToFit="1"/>
      <protection locked="0"/>
    </xf>
    <xf numFmtId="167" fontId="6" fillId="2" borderId="300" xfId="0" applyNumberFormat="1" applyFont="1" applyFill="1" applyBorder="1" applyAlignment="1" applyProtection="1">
      <alignment horizontal="center" shrinkToFit="1"/>
      <protection locked="0"/>
    </xf>
    <xf numFmtId="167" fontId="6" fillId="2" borderId="249" xfId="0" applyNumberFormat="1" applyFont="1" applyFill="1" applyBorder="1" applyAlignment="1" applyProtection="1">
      <alignment horizontal="center" shrinkToFit="1"/>
      <protection locked="0"/>
    </xf>
    <xf numFmtId="167" fontId="6" fillId="2" borderId="143" xfId="0" applyNumberFormat="1" applyFont="1" applyFill="1" applyBorder="1" applyAlignment="1" applyProtection="1">
      <alignment horizontal="center" shrinkToFit="1"/>
      <protection locked="0"/>
    </xf>
    <xf numFmtId="167" fontId="6" fillId="2" borderId="301" xfId="0" applyNumberFormat="1" applyFont="1" applyFill="1" applyBorder="1" applyAlignment="1" applyProtection="1">
      <alignment horizontal="center" shrinkToFit="1"/>
      <protection locked="0"/>
    </xf>
    <xf numFmtId="167" fontId="6" fillId="2" borderId="27" xfId="0" applyNumberFormat="1" applyFont="1" applyFill="1" applyBorder="1" applyAlignment="1" applyProtection="1">
      <alignment horizontal="center" shrinkToFit="1"/>
      <protection locked="0"/>
    </xf>
    <xf numFmtId="167" fontId="6" fillId="2" borderId="308" xfId="0" applyNumberFormat="1" applyFont="1" applyFill="1" applyBorder="1" applyAlignment="1" applyProtection="1">
      <alignment horizontal="center" shrinkToFit="1"/>
      <protection locked="0"/>
    </xf>
    <xf numFmtId="167" fontId="6" fillId="2" borderId="251" xfId="0" applyNumberFormat="1" applyFont="1" applyFill="1" applyBorder="1" applyAlignment="1" applyProtection="1">
      <alignment horizontal="center" shrinkToFit="1"/>
      <protection locked="0"/>
    </xf>
    <xf numFmtId="167" fontId="6" fillId="2" borderId="252" xfId="0" applyNumberFormat="1" applyFont="1" applyFill="1" applyBorder="1" applyAlignment="1" applyProtection="1">
      <alignment horizontal="center" shrinkToFit="1"/>
      <protection locked="0"/>
    </xf>
    <xf numFmtId="167" fontId="6" fillId="2" borderId="303" xfId="0" applyNumberFormat="1" applyFont="1" applyFill="1" applyBorder="1" applyAlignment="1" applyProtection="1">
      <alignment horizontal="center" shrinkToFit="1"/>
      <protection locked="0"/>
    </xf>
    <xf numFmtId="167" fontId="11" fillId="0" borderId="149" xfId="0" applyNumberFormat="1" applyFont="1" applyBorder="1" applyAlignment="1" applyProtection="1">
      <alignment horizontal="center" shrinkToFit="1"/>
      <protection hidden="1"/>
    </xf>
    <xf numFmtId="167" fontId="11" fillId="0" borderId="143" xfId="0" applyNumberFormat="1" applyFont="1" applyBorder="1" applyAlignment="1" applyProtection="1">
      <alignment horizontal="center" shrinkToFit="1"/>
      <protection hidden="1"/>
    </xf>
    <xf numFmtId="167" fontId="11" fillId="0" borderId="27" xfId="0" applyNumberFormat="1" applyFont="1" applyBorder="1" applyAlignment="1" applyProtection="1">
      <alignment horizontal="center" shrinkToFit="1"/>
      <protection hidden="1"/>
    </xf>
    <xf numFmtId="167" fontId="11" fillId="0" borderId="252" xfId="0" applyNumberFormat="1" applyFont="1" applyBorder="1" applyAlignment="1" applyProtection="1">
      <alignment horizontal="center" shrinkToFit="1"/>
      <protection hidden="1"/>
    </xf>
    <xf numFmtId="4" fontId="3" fillId="8" borderId="310" xfId="0" applyNumberFormat="1" applyFont="1" applyFill="1" applyBorder="1" applyAlignment="1" applyProtection="1">
      <alignment horizontal="center" shrinkToFit="1"/>
      <protection hidden="1"/>
    </xf>
    <xf numFmtId="191" fontId="6" fillId="0" borderId="74" xfId="0" applyNumberFormat="1" applyFont="1" applyBorder="1" applyAlignment="1" applyProtection="1">
      <alignment horizontal="center" shrinkToFit="1"/>
      <protection hidden="1"/>
    </xf>
    <xf numFmtId="167" fontId="6" fillId="2" borderId="311" xfId="0" applyNumberFormat="1" applyFont="1" applyFill="1" applyBorder="1" applyAlignment="1" applyProtection="1">
      <alignment horizontal="center" shrinkToFit="1"/>
      <protection locked="0"/>
    </xf>
    <xf numFmtId="167" fontId="6" fillId="0" borderId="311" xfId="0" applyNumberFormat="1" applyFont="1" applyBorder="1" applyAlignment="1" applyProtection="1">
      <alignment horizontal="center" shrinkToFit="1"/>
      <protection hidden="1"/>
    </xf>
    <xf numFmtId="165" fontId="6" fillId="0" borderId="75" xfId="0" applyNumberFormat="1" applyFont="1" applyBorder="1" applyAlignment="1" applyProtection="1">
      <alignment horizontal="center" shrinkToFit="1"/>
      <protection hidden="1"/>
    </xf>
    <xf numFmtId="165" fontId="6" fillId="0" borderId="76" xfId="0" applyNumberFormat="1" applyFont="1" applyBorder="1" applyAlignment="1" applyProtection="1">
      <alignment horizontal="center" shrinkToFit="1"/>
      <protection hidden="1"/>
    </xf>
    <xf numFmtId="0" fontId="1" fillId="19" borderId="307" xfId="0" applyFont="1" applyFill="1" applyBorder="1" applyAlignment="1" applyProtection="1">
      <alignment horizontal="center" vertical="center" wrapText="1" shrinkToFit="1"/>
      <protection hidden="1"/>
    </xf>
    <xf numFmtId="0" fontId="1" fillId="19" borderId="221" xfId="0" applyFont="1" applyFill="1" applyBorder="1" applyAlignment="1" applyProtection="1">
      <alignment horizontal="center" vertical="center" wrapText="1"/>
      <protection hidden="1"/>
    </xf>
    <xf numFmtId="0" fontId="1" fillId="19" borderId="314" xfId="0" applyFont="1" applyFill="1" applyBorder="1" applyAlignment="1" applyProtection="1">
      <alignment horizontal="center" vertical="center" wrapText="1"/>
      <protection hidden="1"/>
    </xf>
    <xf numFmtId="3" fontId="3" fillId="0" borderId="313" xfId="0" applyNumberFormat="1" applyFont="1" applyBorder="1" applyAlignment="1" applyProtection="1">
      <alignment horizontal="center" shrinkToFit="1"/>
      <protection hidden="1"/>
    </xf>
    <xf numFmtId="0" fontId="11" fillId="0" borderId="132" xfId="0" applyFont="1" applyBorder="1" applyAlignment="1" applyProtection="1">
      <alignment horizontal="right" shrinkToFit="1"/>
      <protection hidden="1"/>
    </xf>
    <xf numFmtId="173" fontId="11" fillId="0" borderId="300" xfId="0" applyNumberFormat="1" applyFont="1" applyBorder="1" applyAlignment="1" applyProtection="1">
      <alignment horizontal="center" shrinkToFit="1"/>
      <protection hidden="1"/>
    </xf>
    <xf numFmtId="173" fontId="11" fillId="0" borderId="303" xfId="0" applyNumberFormat="1" applyFont="1" applyBorder="1" applyAlignment="1" applyProtection="1">
      <alignment horizontal="center" shrinkToFit="1"/>
      <protection hidden="1"/>
    </xf>
    <xf numFmtId="173" fontId="11" fillId="0" borderId="308" xfId="0" applyNumberFormat="1" applyFont="1" applyBorder="1" applyAlignment="1" applyProtection="1">
      <alignment horizontal="center" shrinkToFit="1"/>
      <protection hidden="1"/>
    </xf>
    <xf numFmtId="173" fontId="11" fillId="0" borderId="301" xfId="0" applyNumberFormat="1" applyFont="1" applyBorder="1" applyAlignment="1" applyProtection="1">
      <alignment horizontal="center" shrinkToFit="1"/>
      <protection hidden="1"/>
    </xf>
    <xf numFmtId="167" fontId="2" fillId="8" borderId="315" xfId="0" applyNumberFormat="1" applyFont="1" applyFill="1" applyBorder="1" applyAlignment="1" applyProtection="1">
      <alignment horizontal="center" shrinkToFit="1"/>
      <protection hidden="1"/>
    </xf>
    <xf numFmtId="173" fontId="2" fillId="8" borderId="315" xfId="0" applyNumberFormat="1" applyFont="1" applyFill="1" applyBorder="1" applyAlignment="1" applyProtection="1">
      <alignment horizontal="center" shrinkToFit="1"/>
      <protection hidden="1"/>
    </xf>
    <xf numFmtId="165" fontId="2" fillId="0" borderId="309" xfId="0" applyNumberFormat="1" applyFont="1" applyBorder="1" applyAlignment="1" applyProtection="1">
      <alignment horizontal="center" shrinkToFit="1"/>
      <protection hidden="1"/>
    </xf>
    <xf numFmtId="3" fontId="2" fillId="0" borderId="313" xfId="0" applyNumberFormat="1" applyFont="1" applyBorder="1" applyAlignment="1" applyProtection="1">
      <alignment horizontal="center" shrinkToFit="1"/>
      <protection hidden="1"/>
    </xf>
    <xf numFmtId="196" fontId="6" fillId="11" borderId="123" xfId="0" applyNumberFormat="1" applyFont="1" applyFill="1" applyBorder="1" applyAlignment="1" applyProtection="1">
      <alignment horizontal="center" shrinkToFit="1"/>
      <protection hidden="1"/>
    </xf>
    <xf numFmtId="197" fontId="6" fillId="11" borderId="204" xfId="0" applyNumberFormat="1" applyFont="1" applyFill="1" applyBorder="1" applyAlignment="1" applyProtection="1">
      <alignment horizontal="center" shrinkToFit="1"/>
      <protection hidden="1"/>
    </xf>
    <xf numFmtId="202" fontId="22" fillId="9" borderId="0" xfId="0" applyNumberFormat="1" applyFont="1" applyFill="1" applyAlignment="1" applyProtection="1">
      <alignment shrinkToFit="1"/>
      <protection hidden="1"/>
    </xf>
    <xf numFmtId="202" fontId="4" fillId="0" borderId="247" xfId="0" applyNumberFormat="1" applyFont="1" applyBorder="1" applyAlignment="1" applyProtection="1">
      <alignment horizontal="center" shrinkToFit="1"/>
      <protection hidden="1"/>
    </xf>
    <xf numFmtId="202" fontId="4" fillId="0" borderId="248" xfId="0" applyNumberFormat="1" applyFont="1" applyBorder="1" applyAlignment="1" applyProtection="1">
      <alignment horizontal="center" shrinkToFit="1"/>
      <protection hidden="1"/>
    </xf>
    <xf numFmtId="202" fontId="4" fillId="0" borderId="9" xfId="0" applyNumberFormat="1" applyFont="1" applyBorder="1" applyAlignment="1" applyProtection="1">
      <alignment horizontal="center" shrinkToFit="1"/>
      <protection hidden="1"/>
    </xf>
    <xf numFmtId="202" fontId="4" fillId="2" borderId="250" xfId="0" applyNumberFormat="1" applyFont="1" applyFill="1" applyBorder="1" applyAlignment="1" applyProtection="1">
      <alignment horizontal="center" shrinkToFit="1"/>
      <protection locked="0"/>
    </xf>
    <xf numFmtId="202" fontId="4" fillId="0" borderId="260" xfId="0" applyNumberFormat="1" applyFont="1" applyBorder="1" applyAlignment="1" applyProtection="1">
      <alignment horizontal="center" shrinkToFit="1"/>
      <protection hidden="1"/>
    </xf>
    <xf numFmtId="202" fontId="4" fillId="0" borderId="261" xfId="0" applyNumberFormat="1" applyFont="1" applyBorder="1" applyAlignment="1" applyProtection="1">
      <alignment horizontal="center" shrinkToFit="1"/>
      <protection hidden="1"/>
    </xf>
    <xf numFmtId="202" fontId="4" fillId="0" borderId="25" xfId="0" applyNumberFormat="1" applyFont="1" applyBorder="1" applyAlignment="1" applyProtection="1">
      <alignment horizontal="center" shrinkToFit="1"/>
      <protection hidden="1"/>
    </xf>
    <xf numFmtId="202" fontId="4" fillId="0" borderId="214" xfId="0" applyNumberFormat="1" applyFont="1" applyBorder="1" applyAlignment="1" applyProtection="1">
      <alignment horizontal="center" shrinkToFit="1"/>
      <protection hidden="1"/>
    </xf>
    <xf numFmtId="202" fontId="4" fillId="0" borderId="250" xfId="0" applyNumberFormat="1" applyFont="1" applyBorder="1" applyAlignment="1" applyProtection="1">
      <alignment horizontal="center" shrinkToFit="1"/>
      <protection hidden="1"/>
    </xf>
    <xf numFmtId="202" fontId="4" fillId="0" borderId="252" xfId="0" applyNumberFormat="1" applyFont="1" applyBorder="1" applyAlignment="1" applyProtection="1">
      <alignment horizontal="center" shrinkToFit="1"/>
      <protection hidden="1"/>
    </xf>
    <xf numFmtId="202" fontId="4" fillId="0" borderId="253" xfId="0" applyNumberFormat="1" applyFont="1" applyBorder="1" applyAlignment="1" applyProtection="1">
      <alignment horizontal="center" shrinkToFit="1"/>
      <protection hidden="1"/>
    </xf>
    <xf numFmtId="173" fontId="6" fillId="18" borderId="270" xfId="0" applyNumberFormat="1" applyFont="1" applyFill="1" applyBorder="1" applyAlignment="1" applyProtection="1">
      <alignment horizontal="left" shrinkToFit="1"/>
      <protection locked="0"/>
    </xf>
    <xf numFmtId="201" fontId="6" fillId="0" borderId="219" xfId="0" applyNumberFormat="1" applyFont="1" applyBorder="1" applyAlignment="1" applyProtection="1">
      <alignment horizontal="left" shrinkToFit="1"/>
      <protection hidden="1"/>
    </xf>
    <xf numFmtId="0" fontId="6" fillId="18" borderId="79" xfId="0" applyFont="1" applyFill="1" applyBorder="1" applyAlignment="1" applyProtection="1">
      <alignment horizontal="left" shrinkToFit="1"/>
      <protection locked="0"/>
    </xf>
    <xf numFmtId="173" fontId="6" fillId="0" borderId="270" xfId="0" applyNumberFormat="1" applyFont="1" applyBorder="1" applyAlignment="1" applyProtection="1">
      <alignment horizontal="left" shrinkToFit="1"/>
      <protection hidden="1"/>
    </xf>
    <xf numFmtId="0" fontId="6" fillId="0" borderId="79" xfId="0" applyFont="1" applyBorder="1" applyAlignment="1" applyProtection="1">
      <alignment horizontal="left" shrinkToFit="1"/>
      <protection hidden="1"/>
    </xf>
    <xf numFmtId="204" fontId="1" fillId="19" borderId="54" xfId="0" applyNumberFormat="1" applyFont="1" applyFill="1" applyBorder="1" applyAlignment="1" applyProtection="1">
      <alignment horizontal="center" vertical="center" wrapText="1"/>
      <protection hidden="1"/>
    </xf>
    <xf numFmtId="173" fontId="2" fillId="0" borderId="309" xfId="0" applyNumberFormat="1" applyFont="1" applyBorder="1" applyAlignment="1" applyProtection="1">
      <alignment horizontal="center" shrinkToFit="1"/>
      <protection hidden="1"/>
    </xf>
    <xf numFmtId="0" fontId="6" fillId="0" borderId="254" xfId="0" applyFont="1" applyBorder="1" applyAlignment="1" applyProtection="1">
      <alignment horizontal="right"/>
      <protection hidden="1"/>
    </xf>
    <xf numFmtId="0" fontId="6" fillId="22" borderId="81" xfId="0" applyFont="1" applyFill="1" applyBorder="1" applyAlignment="1" applyProtection="1">
      <alignment horizontal="center" vertical="center" shrinkToFit="1"/>
      <protection locked="0" hidden="1"/>
    </xf>
    <xf numFmtId="0" fontId="6" fillId="22" borderId="193" xfId="0" applyFont="1" applyFill="1" applyBorder="1" applyAlignment="1" applyProtection="1">
      <alignment horizontal="center" vertical="center" shrinkToFit="1"/>
      <protection locked="0" hidden="1"/>
    </xf>
    <xf numFmtId="0" fontId="6" fillId="22" borderId="328" xfId="0" applyFont="1" applyFill="1" applyBorder="1" applyAlignment="1" applyProtection="1">
      <alignment horizontal="center" vertical="center" shrinkToFit="1"/>
      <protection locked="0" hidden="1"/>
    </xf>
    <xf numFmtId="165" fontId="6" fillId="7" borderId="329" xfId="0" applyNumberFormat="1" applyFont="1" applyFill="1" applyBorder="1" applyAlignment="1" applyProtection="1">
      <alignment horizontal="center" shrinkToFit="1"/>
      <protection hidden="1"/>
    </xf>
    <xf numFmtId="165" fontId="6" fillId="7" borderId="4" xfId="0" applyNumberFormat="1" applyFont="1" applyFill="1" applyBorder="1" applyAlignment="1" applyProtection="1">
      <alignment horizontal="center" shrinkToFit="1"/>
      <protection hidden="1"/>
    </xf>
    <xf numFmtId="165" fontId="6" fillId="7" borderId="209" xfId="0" applyNumberFormat="1" applyFont="1" applyFill="1" applyBorder="1" applyAlignment="1" applyProtection="1">
      <alignment horizontal="center" shrinkToFit="1"/>
      <protection hidden="1"/>
    </xf>
    <xf numFmtId="183" fontId="6" fillId="7" borderId="4" xfId="0" applyNumberFormat="1" applyFont="1" applyFill="1" applyBorder="1" applyAlignment="1" applyProtection="1">
      <alignment horizontal="center" shrinkToFit="1"/>
      <protection hidden="1"/>
    </xf>
    <xf numFmtId="183" fontId="6" fillId="7" borderId="209" xfId="0" applyNumberFormat="1" applyFont="1" applyFill="1" applyBorder="1" applyAlignment="1" applyProtection="1">
      <alignment horizontal="center" shrinkToFit="1"/>
      <protection hidden="1"/>
    </xf>
    <xf numFmtId="183" fontId="6" fillId="7" borderId="330" xfId="0" applyNumberFormat="1" applyFont="1" applyFill="1" applyBorder="1" applyAlignment="1" applyProtection="1">
      <alignment horizontal="center" shrinkToFit="1"/>
      <protection hidden="1"/>
    </xf>
    <xf numFmtId="183" fontId="6" fillId="7" borderId="211" xfId="0" applyNumberFormat="1" applyFont="1" applyFill="1" applyBorder="1" applyAlignment="1" applyProtection="1">
      <alignment horizontal="center" shrinkToFit="1"/>
      <protection hidden="1"/>
    </xf>
    <xf numFmtId="198" fontId="6" fillId="7" borderId="331" xfId="0" applyNumberFormat="1" applyFont="1" applyFill="1" applyBorder="1" applyAlignment="1" applyProtection="1">
      <alignment horizontal="center" shrinkToFit="1"/>
      <protection hidden="1"/>
    </xf>
    <xf numFmtId="198" fontId="6" fillId="7" borderId="332" xfId="0" applyNumberFormat="1" applyFont="1" applyFill="1" applyBorder="1" applyAlignment="1" applyProtection="1">
      <alignment horizontal="center" shrinkToFit="1"/>
      <protection hidden="1"/>
    </xf>
    <xf numFmtId="195" fontId="6" fillId="7" borderId="333" xfId="1" applyNumberFormat="1" applyFont="1" applyFill="1" applyBorder="1" applyAlignment="1" applyProtection="1">
      <alignment horizontal="center" shrinkToFit="1"/>
      <protection hidden="1"/>
    </xf>
    <xf numFmtId="195" fontId="6" fillId="7" borderId="334" xfId="1" applyNumberFormat="1" applyFont="1" applyFill="1" applyBorder="1" applyAlignment="1" applyProtection="1">
      <alignment horizontal="center" shrinkToFit="1"/>
      <protection hidden="1"/>
    </xf>
    <xf numFmtId="198" fontId="6" fillId="7" borderId="335" xfId="0" applyNumberFormat="1" applyFont="1" applyFill="1" applyBorder="1" applyAlignment="1" applyProtection="1">
      <alignment horizontal="center" shrinkToFit="1"/>
      <protection hidden="1"/>
    </xf>
    <xf numFmtId="198" fontId="6" fillId="7" borderId="336" xfId="0" applyNumberFormat="1" applyFont="1" applyFill="1" applyBorder="1" applyAlignment="1" applyProtection="1">
      <alignment horizontal="center" shrinkToFit="1"/>
      <protection hidden="1"/>
    </xf>
    <xf numFmtId="198" fontId="6" fillId="7" borderId="337" xfId="0" applyNumberFormat="1" applyFont="1" applyFill="1" applyBorder="1" applyAlignment="1" applyProtection="1">
      <alignment horizontal="center" shrinkToFit="1"/>
      <protection hidden="1"/>
    </xf>
    <xf numFmtId="198" fontId="6" fillId="7" borderId="338" xfId="0" applyNumberFormat="1" applyFont="1" applyFill="1" applyBorder="1" applyAlignment="1" applyProtection="1">
      <alignment horizontal="center" shrinkToFit="1"/>
      <protection hidden="1"/>
    </xf>
    <xf numFmtId="195" fontId="6" fillId="7" borderId="339" xfId="1" applyNumberFormat="1" applyFont="1" applyFill="1" applyBorder="1" applyAlignment="1" applyProtection="1">
      <alignment horizontal="center" shrinkToFit="1"/>
      <protection hidden="1"/>
    </xf>
    <xf numFmtId="195" fontId="6" fillId="7" borderId="340" xfId="1" applyNumberFormat="1" applyFont="1" applyFill="1" applyBorder="1" applyAlignment="1" applyProtection="1">
      <alignment horizontal="center" shrinkToFit="1"/>
      <protection hidden="1"/>
    </xf>
    <xf numFmtId="175" fontId="6" fillId="7" borderId="341" xfId="0" applyNumberFormat="1" applyFont="1" applyFill="1" applyBorder="1" applyAlignment="1" applyProtection="1">
      <alignment horizontal="center" shrinkToFit="1"/>
      <protection hidden="1"/>
    </xf>
    <xf numFmtId="195" fontId="6" fillId="7" borderId="342" xfId="1" applyNumberFormat="1" applyFont="1" applyFill="1" applyBorder="1" applyAlignment="1" applyProtection="1">
      <alignment horizontal="center" shrinkToFit="1"/>
      <protection hidden="1"/>
    </xf>
    <xf numFmtId="195" fontId="6" fillId="7" borderId="343" xfId="1" applyNumberFormat="1" applyFont="1" applyFill="1" applyBorder="1" applyAlignment="1" applyProtection="1">
      <alignment horizontal="center" shrinkToFit="1"/>
      <protection hidden="1"/>
    </xf>
    <xf numFmtId="192" fontId="6" fillId="7" borderId="344" xfId="0" applyNumberFormat="1" applyFont="1" applyFill="1" applyBorder="1" applyAlignment="1" applyProtection="1">
      <alignment horizontal="center" shrinkToFit="1"/>
      <protection hidden="1"/>
    </xf>
    <xf numFmtId="192" fontId="6" fillId="7" borderId="330" xfId="0" applyNumberFormat="1" applyFont="1" applyFill="1" applyBorder="1" applyAlignment="1" applyProtection="1">
      <alignment horizontal="center" shrinkToFit="1"/>
      <protection hidden="1"/>
    </xf>
    <xf numFmtId="192" fontId="6" fillId="7" borderId="211" xfId="0" applyNumberFormat="1" applyFont="1" applyFill="1" applyBorder="1" applyAlignment="1" applyProtection="1">
      <alignment horizontal="center" shrinkToFit="1"/>
      <protection hidden="1"/>
    </xf>
    <xf numFmtId="196" fontId="6" fillId="7" borderId="331" xfId="0" applyNumberFormat="1" applyFont="1" applyFill="1" applyBorder="1" applyAlignment="1" applyProtection="1">
      <alignment horizontal="center" shrinkToFit="1"/>
      <protection hidden="1"/>
    </xf>
    <xf numFmtId="196" fontId="6" fillId="7" borderId="332" xfId="0" applyNumberFormat="1" applyFont="1" applyFill="1" applyBorder="1" applyAlignment="1" applyProtection="1">
      <alignment horizontal="center" shrinkToFit="1"/>
      <protection hidden="1"/>
    </xf>
    <xf numFmtId="197" fontId="6" fillId="7" borderId="345" xfId="0" applyNumberFormat="1" applyFont="1" applyFill="1" applyBorder="1" applyAlignment="1" applyProtection="1">
      <alignment horizontal="center" shrinkToFit="1"/>
      <protection hidden="1"/>
    </xf>
    <xf numFmtId="197" fontId="6" fillId="7" borderId="346" xfId="0" applyNumberFormat="1" applyFont="1" applyFill="1" applyBorder="1" applyAlignment="1" applyProtection="1">
      <alignment horizontal="center" shrinkToFit="1"/>
      <protection hidden="1"/>
    </xf>
    <xf numFmtId="197" fontId="6" fillId="7" borderId="287" xfId="0" applyNumberFormat="1" applyFont="1" applyFill="1" applyBorder="1" applyAlignment="1" applyProtection="1">
      <alignment horizontal="center" shrinkToFit="1"/>
      <protection hidden="1"/>
    </xf>
    <xf numFmtId="184" fontId="6" fillId="7" borderId="347" xfId="0" applyNumberFormat="1" applyFont="1" applyFill="1" applyBorder="1" applyAlignment="1" applyProtection="1">
      <alignment horizontal="center" shrinkToFit="1"/>
      <protection hidden="1"/>
    </xf>
    <xf numFmtId="184" fontId="6" fillId="7" borderId="348" xfId="0" applyNumberFormat="1" applyFont="1" applyFill="1" applyBorder="1" applyAlignment="1" applyProtection="1">
      <alignment horizontal="center" shrinkToFit="1"/>
      <protection hidden="1"/>
    </xf>
    <xf numFmtId="179" fontId="6" fillId="7" borderId="331" xfId="0" applyNumberFormat="1" applyFont="1" applyFill="1" applyBorder="1" applyAlignment="1" applyProtection="1">
      <alignment horizontal="center" shrinkToFit="1"/>
      <protection hidden="1"/>
    </xf>
    <xf numFmtId="179" fontId="6" fillId="7" borderId="332" xfId="0" applyNumberFormat="1" applyFont="1" applyFill="1" applyBorder="1" applyAlignment="1" applyProtection="1">
      <alignment horizontal="center" shrinkToFit="1"/>
      <protection hidden="1"/>
    </xf>
    <xf numFmtId="176" fontId="6" fillId="7" borderId="349" xfId="0" applyNumberFormat="1" applyFont="1" applyFill="1" applyBorder="1" applyAlignment="1" applyProtection="1">
      <alignment horizontal="center" shrinkToFit="1"/>
      <protection hidden="1"/>
    </xf>
    <xf numFmtId="176" fontId="6" fillId="7" borderId="4" xfId="0" applyNumberFormat="1" applyFont="1" applyFill="1" applyBorder="1" applyAlignment="1" applyProtection="1">
      <alignment horizontal="center" shrinkToFit="1"/>
      <protection hidden="1"/>
    </xf>
    <xf numFmtId="174" fontId="6" fillId="7" borderId="349" xfId="0" applyNumberFormat="1" applyFont="1" applyFill="1" applyBorder="1" applyAlignment="1" applyProtection="1">
      <alignment horizontal="center" shrinkToFit="1"/>
      <protection hidden="1"/>
    </xf>
    <xf numFmtId="174" fontId="6" fillId="7" borderId="4" xfId="0" applyNumberFormat="1" applyFont="1" applyFill="1" applyBorder="1" applyAlignment="1" applyProtection="1">
      <alignment horizontal="center" shrinkToFit="1"/>
      <protection hidden="1"/>
    </xf>
    <xf numFmtId="174" fontId="6" fillId="7" borderId="350" xfId="0" applyNumberFormat="1" applyFont="1" applyFill="1" applyBorder="1" applyAlignment="1" applyProtection="1">
      <alignment horizontal="center" shrinkToFit="1"/>
      <protection hidden="1"/>
    </xf>
    <xf numFmtId="174" fontId="6" fillId="7" borderId="5" xfId="0" applyNumberFormat="1" applyFont="1" applyFill="1" applyBorder="1" applyAlignment="1" applyProtection="1">
      <alignment horizontal="center" shrinkToFit="1"/>
      <protection hidden="1"/>
    </xf>
    <xf numFmtId="169" fontId="6" fillId="7" borderId="351" xfId="0" applyNumberFormat="1" applyFont="1" applyFill="1" applyBorder="1" applyAlignment="1" applyProtection="1">
      <alignment horizontal="center" shrinkToFit="1"/>
      <protection hidden="1"/>
    </xf>
    <xf numFmtId="169" fontId="6" fillId="7" borderId="352" xfId="0" applyNumberFormat="1" applyFont="1" applyFill="1" applyBorder="1" applyAlignment="1" applyProtection="1">
      <alignment horizontal="center" shrinkToFit="1"/>
      <protection hidden="1"/>
    </xf>
    <xf numFmtId="169" fontId="6" fillId="7" borderId="284" xfId="0" applyNumberFormat="1" applyFont="1" applyFill="1" applyBorder="1" applyAlignment="1" applyProtection="1">
      <alignment horizontal="center" shrinkToFit="1"/>
      <protection hidden="1"/>
    </xf>
    <xf numFmtId="178" fontId="6" fillId="7" borderId="349" xfId="0" applyNumberFormat="1" applyFont="1" applyFill="1" applyBorder="1" applyAlignment="1" applyProtection="1">
      <alignment horizontal="center" shrinkToFit="1"/>
      <protection hidden="1"/>
    </xf>
    <xf numFmtId="178" fontId="6" fillId="7" borderId="4" xfId="0" applyNumberFormat="1" applyFont="1" applyFill="1" applyBorder="1" applyAlignment="1" applyProtection="1">
      <alignment horizontal="center" shrinkToFit="1"/>
      <protection hidden="1"/>
    </xf>
    <xf numFmtId="177" fontId="6" fillId="7" borderId="344" xfId="0" applyNumberFormat="1" applyFont="1" applyFill="1" applyBorder="1" applyAlignment="1" applyProtection="1">
      <alignment horizontal="center" shrinkToFit="1"/>
      <protection hidden="1"/>
    </xf>
    <xf numFmtId="177" fontId="6" fillId="7" borderId="330" xfId="0" applyNumberFormat="1" applyFont="1" applyFill="1" applyBorder="1" applyAlignment="1" applyProtection="1">
      <alignment horizontal="center" shrinkToFit="1"/>
      <protection hidden="1"/>
    </xf>
    <xf numFmtId="181" fontId="16" fillId="29" borderId="157" xfId="1" applyNumberFormat="1" applyFont="1" applyFill="1" applyBorder="1" applyAlignment="1" applyProtection="1">
      <alignment shrinkToFit="1"/>
      <protection locked="0"/>
    </xf>
    <xf numFmtId="181" fontId="16" fillId="30" borderId="165" xfId="1" applyNumberFormat="1" applyFont="1" applyFill="1" applyBorder="1" applyAlignment="1" applyProtection="1">
      <alignment shrinkToFit="1"/>
      <protection locked="0"/>
    </xf>
    <xf numFmtId="181" fontId="16" fillId="30" borderId="159" xfId="1" applyNumberFormat="1" applyFont="1" applyFill="1" applyBorder="1" applyAlignment="1" applyProtection="1">
      <alignment shrinkToFit="1"/>
      <protection locked="0"/>
    </xf>
    <xf numFmtId="181" fontId="16" fillId="29" borderId="165" xfId="1" applyNumberFormat="1" applyFont="1" applyFill="1" applyBorder="1" applyAlignment="1" applyProtection="1">
      <alignment shrinkToFit="1"/>
      <protection locked="0"/>
    </xf>
    <xf numFmtId="0" fontId="32" fillId="19" borderId="290" xfId="0" applyFont="1" applyFill="1" applyBorder="1" applyAlignment="1" applyProtection="1">
      <alignment horizontal="center" vertical="center" wrapText="1"/>
      <protection hidden="1"/>
    </xf>
    <xf numFmtId="0" fontId="1" fillId="19" borderId="353" xfId="0" applyFont="1" applyFill="1" applyBorder="1" applyAlignment="1" applyProtection="1">
      <alignment horizontal="center" vertical="center" wrapText="1"/>
      <protection hidden="1"/>
    </xf>
    <xf numFmtId="185" fontId="11" fillId="11" borderId="273" xfId="0" applyNumberFormat="1" applyFont="1" applyFill="1" applyBorder="1" applyAlignment="1" applyProtection="1">
      <alignment horizontal="center" shrinkToFit="1"/>
      <protection hidden="1"/>
    </xf>
    <xf numFmtId="173" fontId="33" fillId="18" borderId="270" xfId="0" applyNumberFormat="1" applyFont="1" applyFill="1" applyBorder="1" applyAlignment="1" applyProtection="1">
      <alignment horizontal="left" shrinkToFit="1"/>
      <protection locked="0"/>
    </xf>
    <xf numFmtId="0" fontId="33" fillId="0" borderId="0" xfId="0" applyFont="1"/>
    <xf numFmtId="0" fontId="33" fillId="0" borderId="0" xfId="0" applyFont="1" applyProtection="1">
      <protection hidden="1"/>
    </xf>
    <xf numFmtId="201" fontId="33" fillId="0" borderId="219" xfId="0" applyNumberFormat="1" applyFont="1" applyBorder="1" applyAlignment="1" applyProtection="1">
      <alignment horizontal="left" shrinkToFit="1"/>
      <protection hidden="1"/>
    </xf>
    <xf numFmtId="0" fontId="41" fillId="0" borderId="0" xfId="0" applyFont="1"/>
    <xf numFmtId="0" fontId="41" fillId="0" borderId="0" xfId="0" applyFont="1" applyProtection="1">
      <protection hidden="1"/>
    </xf>
    <xf numFmtId="0" fontId="33" fillId="18" borderId="79" xfId="0" applyFont="1" applyFill="1" applyBorder="1" applyAlignment="1" applyProtection="1">
      <alignment horizontal="left" shrinkToFit="1"/>
      <protection locked="0"/>
    </xf>
    <xf numFmtId="0" fontId="33" fillId="0" borderId="254" xfId="0" applyFont="1" applyBorder="1" applyAlignment="1" applyProtection="1">
      <alignment horizontal="right"/>
      <protection hidden="1"/>
    </xf>
    <xf numFmtId="0" fontId="35" fillId="0" borderId="132" xfId="0" applyFont="1" applyBorder="1" applyAlignment="1" applyProtection="1">
      <alignment horizontal="right" shrinkToFit="1"/>
      <protection hidden="1"/>
    </xf>
    <xf numFmtId="0" fontId="36" fillId="2" borderId="212" xfId="0" applyFont="1" applyFill="1" applyBorder="1" applyAlignment="1" applyProtection="1">
      <alignment horizontal="left" shrinkToFit="1"/>
      <protection locked="0"/>
    </xf>
    <xf numFmtId="0" fontId="33" fillId="0" borderId="132" xfId="0" applyFont="1" applyBorder="1" applyAlignment="1" applyProtection="1">
      <alignment horizontal="right" shrinkToFit="1"/>
      <protection hidden="1"/>
    </xf>
    <xf numFmtId="0" fontId="34" fillId="2" borderId="220" xfId="0" applyFont="1" applyFill="1" applyBorder="1" applyAlignment="1" applyProtection="1">
      <alignment horizontal="left" shrinkToFit="1"/>
      <protection locked="0"/>
    </xf>
    <xf numFmtId="0" fontId="34" fillId="19" borderId="7" xfId="0" applyFont="1" applyFill="1" applyBorder="1" applyAlignment="1" applyProtection="1">
      <alignment horizontal="center" vertical="center"/>
      <protection hidden="1"/>
    </xf>
    <xf numFmtId="0" fontId="34" fillId="19" borderId="14" xfId="0" applyFont="1" applyFill="1" applyBorder="1" applyAlignment="1" applyProtection="1">
      <alignment horizontal="center" vertical="center" wrapText="1"/>
      <protection hidden="1"/>
    </xf>
    <xf numFmtId="0" fontId="34" fillId="19" borderId="223" xfId="0" applyFont="1" applyFill="1" applyBorder="1" applyAlignment="1" applyProtection="1">
      <alignment horizontal="center" vertical="center" wrapText="1"/>
      <protection hidden="1"/>
    </xf>
    <xf numFmtId="0" fontId="34" fillId="19" borderId="221" xfId="0" applyFont="1" applyFill="1" applyBorder="1" applyAlignment="1" applyProtection="1">
      <alignment horizontal="center" vertical="center"/>
      <protection hidden="1"/>
    </xf>
    <xf numFmtId="0" fontId="34" fillId="19" borderId="222" xfId="0" applyFont="1" applyFill="1" applyBorder="1" applyAlignment="1" applyProtection="1">
      <alignment horizontal="center" vertical="center"/>
      <protection hidden="1"/>
    </xf>
    <xf numFmtId="0" fontId="42" fillId="19" borderId="307" xfId="0" applyFont="1" applyFill="1" applyBorder="1" applyAlignment="1" applyProtection="1">
      <alignment horizontal="center" vertical="center" wrapText="1"/>
      <protection hidden="1"/>
    </xf>
    <xf numFmtId="0" fontId="42" fillId="19" borderId="221" xfId="0" applyFont="1" applyFill="1" applyBorder="1" applyAlignment="1" applyProtection="1">
      <alignment horizontal="center" vertical="center" wrapText="1"/>
      <protection hidden="1"/>
    </xf>
    <xf numFmtId="0" fontId="42" fillId="19" borderId="314" xfId="0" applyFont="1" applyFill="1" applyBorder="1" applyAlignment="1" applyProtection="1">
      <alignment horizontal="center" vertical="center" wrapText="1"/>
      <protection hidden="1"/>
    </xf>
    <xf numFmtId="0" fontId="42" fillId="19" borderId="307" xfId="0" applyFont="1" applyFill="1" applyBorder="1" applyAlignment="1" applyProtection="1">
      <alignment horizontal="center" vertical="center" wrapText="1" shrinkToFit="1"/>
      <protection hidden="1"/>
    </xf>
    <xf numFmtId="0" fontId="36" fillId="19" borderId="29" xfId="0" applyFont="1" applyFill="1" applyBorder="1" applyAlignment="1" applyProtection="1">
      <alignment horizontal="center" vertical="center" wrapText="1"/>
      <protection hidden="1"/>
    </xf>
    <xf numFmtId="0" fontId="42" fillId="19" borderId="53" xfId="0" applyFont="1" applyFill="1" applyBorder="1" applyAlignment="1" applyProtection="1">
      <alignment horizontal="center" vertical="center" wrapText="1"/>
      <protection hidden="1"/>
    </xf>
    <xf numFmtId="204" fontId="42" fillId="19" borderId="54" xfId="0" applyNumberFormat="1" applyFont="1" applyFill="1" applyBorder="1" applyAlignment="1" applyProtection="1">
      <alignment horizontal="center" vertical="center" wrapText="1"/>
      <protection locked="0" hidden="1"/>
    </xf>
    <xf numFmtId="0" fontId="42" fillId="19" borderId="55" xfId="0" applyFont="1" applyFill="1" applyBorder="1" applyAlignment="1" applyProtection="1">
      <alignment horizontal="center" vertical="center" wrapText="1"/>
      <protection hidden="1"/>
    </xf>
    <xf numFmtId="0" fontId="42" fillId="19" borderId="60" xfId="0" applyFont="1" applyFill="1" applyBorder="1" applyAlignment="1" applyProtection="1">
      <alignment horizontal="center" vertical="center" wrapText="1"/>
      <protection hidden="1"/>
    </xf>
    <xf numFmtId="0" fontId="42" fillId="19" borderId="46" xfId="0" applyFont="1" applyFill="1" applyBorder="1" applyAlignment="1" applyProtection="1">
      <alignment horizontal="center" vertical="center" wrapText="1"/>
      <protection hidden="1"/>
    </xf>
    <xf numFmtId="0" fontId="42" fillId="19" borderId="56" xfId="0" applyFont="1" applyFill="1" applyBorder="1" applyAlignment="1" applyProtection="1">
      <alignment horizontal="center" vertical="center" wrapText="1"/>
      <protection hidden="1"/>
    </xf>
    <xf numFmtId="0" fontId="42" fillId="19" borderId="54" xfId="0" applyFont="1" applyFill="1" applyBorder="1" applyAlignment="1" applyProtection="1">
      <alignment horizontal="center" vertical="center" wrapText="1"/>
      <protection hidden="1"/>
    </xf>
    <xf numFmtId="0" fontId="42" fillId="19" borderId="216" xfId="0" applyFont="1" applyFill="1" applyBorder="1" applyAlignment="1" applyProtection="1">
      <alignment horizontal="center" vertical="center" wrapText="1"/>
      <protection hidden="1"/>
    </xf>
    <xf numFmtId="0" fontId="42" fillId="19" borderId="297" xfId="0" applyFont="1" applyFill="1" applyBorder="1" applyAlignment="1" applyProtection="1">
      <alignment horizontal="center" vertical="center" wrapText="1"/>
      <protection hidden="1"/>
    </xf>
    <xf numFmtId="0" fontId="42" fillId="19" borderId="298" xfId="0" applyFont="1" applyFill="1" applyBorder="1" applyAlignment="1" applyProtection="1">
      <alignment horizontal="center" vertical="center" wrapText="1"/>
      <protection hidden="1"/>
    </xf>
    <xf numFmtId="0" fontId="43" fillId="19" borderId="290" xfId="0" applyFont="1" applyFill="1" applyBorder="1" applyAlignment="1" applyProtection="1">
      <alignment horizontal="center" vertical="center" wrapText="1"/>
      <protection hidden="1"/>
    </xf>
    <xf numFmtId="0" fontId="42" fillId="19" borderId="353" xfId="0" applyFont="1" applyFill="1" applyBorder="1" applyAlignment="1" applyProtection="1">
      <alignment horizontal="center" vertical="center" wrapText="1"/>
      <protection hidden="1"/>
    </xf>
    <xf numFmtId="0" fontId="42" fillId="19" borderId="291" xfId="0" applyFont="1" applyFill="1" applyBorder="1" applyAlignment="1" applyProtection="1">
      <alignment horizontal="center" vertical="center" wrapText="1"/>
      <protection hidden="1"/>
    </xf>
    <xf numFmtId="0" fontId="44" fillId="19" borderId="46" xfId="0" applyFont="1" applyFill="1" applyBorder="1" applyAlignment="1" applyProtection="1">
      <alignment horizontal="center" vertical="center" wrapText="1"/>
      <protection hidden="1"/>
    </xf>
    <xf numFmtId="0" fontId="44" fillId="19" borderId="60" xfId="0" applyFont="1" applyFill="1" applyBorder="1" applyAlignment="1" applyProtection="1">
      <alignment horizontal="center" vertical="center" wrapText="1"/>
      <protection hidden="1"/>
    </xf>
    <xf numFmtId="0" fontId="44" fillId="19" borderId="28" xfId="0" applyFont="1" applyFill="1" applyBorder="1" applyAlignment="1" applyProtection="1">
      <alignment horizontal="center" vertical="center" wrapText="1"/>
      <protection hidden="1"/>
    </xf>
    <xf numFmtId="0" fontId="34" fillId="19" borderId="141" xfId="0" applyFont="1" applyFill="1" applyBorder="1" applyAlignment="1" applyProtection="1">
      <alignment horizontal="center" vertical="center" wrapText="1"/>
      <protection hidden="1"/>
    </xf>
    <xf numFmtId="0" fontId="34" fillId="19" borderId="55" xfId="0" applyFont="1" applyFill="1" applyBorder="1" applyAlignment="1" applyProtection="1">
      <alignment horizontal="center" vertical="center" wrapText="1"/>
      <protection hidden="1"/>
    </xf>
    <xf numFmtId="0" fontId="34" fillId="19" borderId="62" xfId="0" applyFont="1" applyFill="1" applyBorder="1" applyAlignment="1" applyProtection="1">
      <alignment horizontal="center" vertical="center" wrapText="1"/>
      <protection hidden="1"/>
    </xf>
    <xf numFmtId="0" fontId="36" fillId="19" borderId="63" xfId="0" applyFont="1" applyFill="1" applyBorder="1" applyAlignment="1" applyProtection="1">
      <alignment horizontal="center" vertical="center" wrapText="1"/>
      <protection hidden="1"/>
    </xf>
    <xf numFmtId="0" fontId="45" fillId="9" borderId="0" xfId="0" applyFont="1" applyFill="1" applyProtection="1">
      <protection hidden="1"/>
    </xf>
    <xf numFmtId="190" fontId="33" fillId="0" borderId="14" xfId="0" applyNumberFormat="1" applyFont="1" applyBorder="1" applyAlignment="1" applyProtection="1">
      <alignment horizontal="center" shrinkToFit="1"/>
      <protection hidden="1"/>
    </xf>
    <xf numFmtId="191" fontId="33" fillId="0" borderId="142" xfId="0" applyNumberFormat="1" applyFont="1" applyBorder="1" applyAlignment="1" applyProtection="1">
      <alignment horizontal="center" shrinkToFit="1"/>
      <protection hidden="1"/>
    </xf>
    <xf numFmtId="167" fontId="33" fillId="2" borderId="304" xfId="0" applyNumberFormat="1" applyFont="1" applyFill="1" applyBorder="1" applyAlignment="1" applyProtection="1">
      <alignment horizontal="center" shrinkToFit="1"/>
      <protection locked="0"/>
    </xf>
    <xf numFmtId="167" fontId="33" fillId="2" borderId="149" xfId="0" applyNumberFormat="1" applyFont="1" applyFill="1" applyBorder="1" applyAlignment="1" applyProtection="1">
      <alignment horizontal="center" shrinkToFit="1"/>
      <protection locked="0"/>
    </xf>
    <xf numFmtId="167" fontId="33" fillId="2" borderId="300" xfId="0" applyNumberFormat="1" applyFont="1" applyFill="1" applyBorder="1" applyAlignment="1" applyProtection="1">
      <alignment horizontal="center" shrinkToFit="1"/>
      <protection locked="0"/>
    </xf>
    <xf numFmtId="167" fontId="35" fillId="0" borderId="149" xfId="0" applyNumberFormat="1" applyFont="1" applyBorder="1" applyAlignment="1" applyProtection="1">
      <alignment horizontal="center" shrinkToFit="1"/>
      <protection hidden="1"/>
    </xf>
    <xf numFmtId="173" fontId="35" fillId="0" borderId="300" xfId="0" applyNumberFormat="1" applyFont="1" applyBorder="1" applyAlignment="1" applyProtection="1">
      <alignment horizontal="center" shrinkToFit="1"/>
      <protection hidden="1"/>
    </xf>
    <xf numFmtId="165" fontId="33" fillId="0" borderId="67" xfId="0" applyNumberFormat="1" applyFont="1" applyBorder="1" applyAlignment="1" applyProtection="1">
      <alignment horizontal="center" shrinkToFit="1"/>
      <protection hidden="1"/>
    </xf>
    <xf numFmtId="164" fontId="46" fillId="9" borderId="243" xfId="0" applyNumberFormat="1" applyFont="1" applyFill="1" applyBorder="1" applyAlignment="1" applyProtection="1">
      <alignment horizontal="center" shrinkToFit="1"/>
      <protection hidden="1"/>
    </xf>
    <xf numFmtId="0" fontId="46" fillId="0" borderId="244" xfId="0" applyFont="1" applyBorder="1" applyAlignment="1" applyProtection="1">
      <alignment horizontal="center" shrinkToFit="1"/>
      <protection hidden="1"/>
    </xf>
    <xf numFmtId="0" fontId="46" fillId="0" borderId="245" xfId="0" applyFont="1" applyBorder="1" applyAlignment="1" applyProtection="1">
      <alignment horizontal="center" shrinkToFit="1"/>
      <protection hidden="1"/>
    </xf>
    <xf numFmtId="185" fontId="35" fillId="2" borderId="263" xfId="0" applyNumberFormat="1" applyFont="1" applyFill="1" applyBorder="1" applyAlignment="1" applyProtection="1">
      <alignment horizontal="center" shrinkToFit="1"/>
      <protection locked="0"/>
    </xf>
    <xf numFmtId="185" fontId="35" fillId="0" borderId="41" xfId="0" applyNumberFormat="1" applyFont="1" applyBorder="1" applyAlignment="1" applyProtection="1">
      <alignment horizontal="center" shrinkToFit="1"/>
      <protection hidden="1"/>
    </xf>
    <xf numFmtId="185" fontId="35" fillId="2" borderId="242" xfId="0" applyNumberFormat="1" applyFont="1" applyFill="1" applyBorder="1" applyAlignment="1" applyProtection="1">
      <alignment horizontal="center" shrinkToFit="1"/>
      <protection locked="0"/>
    </xf>
    <xf numFmtId="185" fontId="35" fillId="2" borderId="15" xfId="0" applyNumberFormat="1" applyFont="1" applyFill="1" applyBorder="1" applyAlignment="1" applyProtection="1">
      <alignment horizontal="center" shrinkToFit="1"/>
      <protection locked="0"/>
    </xf>
    <xf numFmtId="185" fontId="35" fillId="2" borderId="48" xfId="0" applyNumberFormat="1" applyFont="1" applyFill="1" applyBorder="1" applyAlignment="1" applyProtection="1">
      <alignment horizontal="center" shrinkToFit="1"/>
      <protection locked="0"/>
    </xf>
    <xf numFmtId="185" fontId="35" fillId="0" borderId="299" xfId="0" applyNumberFormat="1" applyFont="1" applyBorder="1" applyAlignment="1" applyProtection="1">
      <alignment horizontal="center" shrinkToFit="1"/>
      <protection hidden="1"/>
    </xf>
    <xf numFmtId="185" fontId="35" fillId="0" borderId="149" xfId="0" applyNumberFormat="1" applyFont="1" applyBorder="1" applyAlignment="1" applyProtection="1">
      <alignment horizontal="center" shrinkToFit="1"/>
      <protection hidden="1"/>
    </xf>
    <xf numFmtId="185" fontId="35" fillId="0" borderId="300" xfId="0" applyNumberFormat="1" applyFont="1" applyBorder="1" applyAlignment="1" applyProtection="1">
      <alignment horizontal="center" shrinkToFit="1"/>
      <protection hidden="1"/>
    </xf>
    <xf numFmtId="185" fontId="35" fillId="0" borderId="242" xfId="0" applyNumberFormat="1" applyFont="1" applyBorder="1" applyAlignment="1" applyProtection="1">
      <alignment horizontal="center" shrinkToFit="1"/>
      <protection hidden="1"/>
    </xf>
    <xf numFmtId="185" fontId="35" fillId="0" borderId="15" xfId="0" applyNumberFormat="1" applyFont="1" applyBorder="1" applyAlignment="1" applyProtection="1">
      <alignment horizontal="center" shrinkToFit="1"/>
      <protection hidden="1"/>
    </xf>
    <xf numFmtId="185" fontId="35" fillId="15" borderId="41" xfId="0" applyNumberFormat="1" applyFont="1" applyFill="1" applyBorder="1" applyAlignment="1" applyProtection="1">
      <alignment horizontal="center" shrinkToFit="1"/>
      <protection hidden="1"/>
    </xf>
    <xf numFmtId="168" fontId="33" fillId="0" borderId="40" xfId="0" applyNumberFormat="1" applyFont="1" applyBorder="1" applyAlignment="1" applyProtection="1">
      <alignment horizontal="center" shrinkToFit="1"/>
      <protection hidden="1"/>
    </xf>
    <xf numFmtId="168" fontId="33" fillId="15" borderId="18" xfId="0" applyNumberFormat="1" applyFont="1" applyFill="1" applyBorder="1" applyAlignment="1" applyProtection="1">
      <alignment horizontal="center" shrinkToFit="1"/>
      <protection hidden="1"/>
    </xf>
    <xf numFmtId="164" fontId="47" fillId="0" borderId="267" xfId="0" applyNumberFormat="1" applyFont="1" applyBorder="1" applyAlignment="1" applyProtection="1">
      <alignment horizontal="center" vertical="center" wrapText="1" shrinkToFit="1"/>
      <protection hidden="1"/>
    </xf>
    <xf numFmtId="0" fontId="33" fillId="0" borderId="269" xfId="0" applyFont="1" applyBorder="1" applyAlignment="1" applyProtection="1">
      <alignment horizontal="center" shrinkToFit="1"/>
      <protection hidden="1"/>
    </xf>
    <xf numFmtId="169" fontId="33" fillId="0" borderId="15" xfId="0" applyNumberFormat="1" applyFont="1" applyBorder="1" applyAlignment="1" applyProtection="1">
      <alignment horizontal="center" shrinkToFit="1"/>
      <protection hidden="1"/>
    </xf>
    <xf numFmtId="169" fontId="33" fillId="15" borderId="18" xfId="0" applyNumberFormat="1" applyFont="1" applyFill="1" applyBorder="1" applyAlignment="1" applyProtection="1">
      <alignment horizontal="center" shrinkToFit="1"/>
      <protection hidden="1"/>
    </xf>
    <xf numFmtId="170" fontId="34" fillId="5" borderId="284" xfId="0" applyNumberFormat="1" applyFont="1" applyFill="1" applyBorder="1" applyAlignment="1" applyProtection="1">
      <alignment horizontal="center" shrinkToFit="1"/>
      <protection hidden="1"/>
    </xf>
    <xf numFmtId="0" fontId="48" fillId="6" borderId="30" xfId="0" applyFont="1" applyFill="1" applyBorder="1" applyAlignment="1" applyProtection="1">
      <alignment horizontal="center" vertical="center" shrinkToFit="1"/>
      <protection hidden="1"/>
    </xf>
    <xf numFmtId="0" fontId="48" fillId="6" borderId="31" xfId="0" applyFont="1" applyFill="1" applyBorder="1" applyAlignment="1" applyProtection="1">
      <alignment horizontal="center" vertical="center" shrinkToFit="1"/>
      <protection hidden="1"/>
    </xf>
    <xf numFmtId="0" fontId="48" fillId="6" borderId="34" xfId="0" applyFont="1" applyFill="1" applyBorder="1" applyAlignment="1" applyProtection="1">
      <alignment horizontal="center" vertical="center" shrinkToFit="1"/>
      <protection hidden="1"/>
    </xf>
    <xf numFmtId="0" fontId="45" fillId="0" borderId="0" xfId="0" applyFont="1" applyProtection="1">
      <protection hidden="1"/>
    </xf>
    <xf numFmtId="190" fontId="33" fillId="0" borderId="4" xfId="0" applyNumberFormat="1" applyFont="1" applyBorder="1" applyAlignment="1" applyProtection="1">
      <alignment horizontal="center" shrinkToFit="1"/>
      <protection hidden="1"/>
    </xf>
    <xf numFmtId="191" fontId="33" fillId="0" borderId="213" xfId="0" applyNumberFormat="1" applyFont="1" applyBorder="1" applyAlignment="1" applyProtection="1">
      <alignment horizontal="center" shrinkToFit="1"/>
      <protection hidden="1"/>
    </xf>
    <xf numFmtId="167" fontId="33" fillId="2" borderId="249" xfId="0" applyNumberFormat="1" applyFont="1" applyFill="1" applyBorder="1" applyAlignment="1" applyProtection="1">
      <alignment horizontal="center" shrinkToFit="1"/>
      <protection locked="0"/>
    </xf>
    <xf numFmtId="167" fontId="33" fillId="2" borderId="143" xfId="0" applyNumberFormat="1" applyFont="1" applyFill="1" applyBorder="1" applyAlignment="1" applyProtection="1">
      <alignment horizontal="center" shrinkToFit="1"/>
      <protection locked="0"/>
    </xf>
    <xf numFmtId="167" fontId="33" fillId="2" borderId="301" xfId="0" applyNumberFormat="1" applyFont="1" applyFill="1" applyBorder="1" applyAlignment="1" applyProtection="1">
      <alignment horizontal="center" shrinkToFit="1"/>
      <protection locked="0"/>
    </xf>
    <xf numFmtId="167" fontId="35" fillId="0" borderId="143" xfId="0" applyNumberFormat="1" applyFont="1" applyBorder="1" applyAlignment="1" applyProtection="1">
      <alignment horizontal="center" shrinkToFit="1"/>
      <protection hidden="1"/>
    </xf>
    <xf numFmtId="173" fontId="35" fillId="0" borderId="308" xfId="0" applyNumberFormat="1" applyFont="1" applyBorder="1" applyAlignment="1" applyProtection="1">
      <alignment horizontal="center" shrinkToFit="1"/>
      <protection hidden="1"/>
    </xf>
    <xf numFmtId="165" fontId="33" fillId="0" borderId="75" xfId="0" applyNumberFormat="1" applyFont="1" applyBorder="1" applyAlignment="1" applyProtection="1">
      <alignment horizontal="center" shrinkToFit="1"/>
      <protection hidden="1"/>
    </xf>
    <xf numFmtId="0" fontId="37" fillId="0" borderId="246" xfId="0" applyFont="1" applyBorder="1" applyAlignment="1" applyProtection="1">
      <alignment shrinkToFit="1"/>
      <protection hidden="1"/>
    </xf>
    <xf numFmtId="167" fontId="37" fillId="0" borderId="247" xfId="0" applyNumberFormat="1" applyFont="1" applyBorder="1" applyAlignment="1" applyProtection="1">
      <alignment horizontal="center" shrinkToFit="1"/>
      <protection hidden="1"/>
    </xf>
    <xf numFmtId="202" fontId="37" fillId="0" borderId="247" xfId="0" applyNumberFormat="1" applyFont="1" applyBorder="1" applyAlignment="1" applyProtection="1">
      <alignment horizontal="center" shrinkToFit="1"/>
      <protection hidden="1"/>
    </xf>
    <xf numFmtId="202" fontId="37" fillId="0" borderId="248" xfId="0" applyNumberFormat="1" applyFont="1" applyBorder="1" applyAlignment="1" applyProtection="1">
      <alignment horizontal="center" shrinkToFit="1"/>
      <protection hidden="1"/>
    </xf>
    <xf numFmtId="185" fontId="35" fillId="2" borderId="2" xfId="0" applyNumberFormat="1" applyFont="1" applyFill="1" applyBorder="1" applyAlignment="1" applyProtection="1">
      <alignment horizontal="center" shrinkToFit="1"/>
      <protection locked="0"/>
    </xf>
    <xf numFmtId="185" fontId="35" fillId="2" borderId="237" xfId="0" applyNumberFormat="1" applyFont="1" applyFill="1" applyBorder="1" applyAlignment="1" applyProtection="1">
      <alignment horizontal="center" shrinkToFit="1"/>
      <protection locked="0"/>
    </xf>
    <xf numFmtId="185" fontId="35" fillId="0" borderId="43" xfId="0" applyNumberFormat="1" applyFont="1" applyBorder="1" applyAlignment="1" applyProtection="1">
      <alignment horizontal="center" shrinkToFit="1"/>
      <protection hidden="1"/>
    </xf>
    <xf numFmtId="185" fontId="35" fillId="2" borderId="77" xfId="0" applyNumberFormat="1" applyFont="1" applyFill="1" applyBorder="1" applyAlignment="1" applyProtection="1">
      <alignment horizontal="center" shrinkToFit="1"/>
      <protection locked="0"/>
    </xf>
    <xf numFmtId="185" fontId="35" fillId="2" borderId="17" xfId="0" applyNumberFormat="1" applyFont="1" applyFill="1" applyBorder="1" applyAlignment="1" applyProtection="1">
      <alignment horizontal="center" shrinkToFit="1"/>
      <protection locked="0"/>
    </xf>
    <xf numFmtId="185" fontId="35" fillId="2" borderId="49" xfId="0" applyNumberFormat="1" applyFont="1" applyFill="1" applyBorder="1" applyAlignment="1" applyProtection="1">
      <alignment horizontal="center" shrinkToFit="1"/>
      <protection locked="0"/>
    </xf>
    <xf numFmtId="185" fontId="35" fillId="0" borderId="215" xfId="0" applyNumberFormat="1" applyFont="1" applyBorder="1" applyAlignment="1" applyProtection="1">
      <alignment horizontal="center" shrinkToFit="1"/>
      <protection hidden="1"/>
    </xf>
    <xf numFmtId="185" fontId="35" fillId="0" borderId="143" xfId="0" applyNumberFormat="1" applyFont="1" applyBorder="1" applyAlignment="1" applyProtection="1">
      <alignment horizontal="center" shrinkToFit="1"/>
      <protection hidden="1"/>
    </xf>
    <xf numFmtId="185" fontId="35" fillId="0" borderId="301" xfId="0" applyNumberFormat="1" applyFont="1" applyBorder="1" applyAlignment="1" applyProtection="1">
      <alignment horizontal="center" shrinkToFit="1"/>
      <protection hidden="1"/>
    </xf>
    <xf numFmtId="185" fontId="35" fillId="0" borderId="77" xfId="0" applyNumberFormat="1" applyFont="1" applyBorder="1" applyAlignment="1" applyProtection="1">
      <alignment horizontal="center" shrinkToFit="1"/>
      <protection hidden="1"/>
    </xf>
    <xf numFmtId="185" fontId="35" fillId="0" borderId="17" xfId="0" applyNumberFormat="1" applyFont="1" applyBorder="1" applyAlignment="1" applyProtection="1">
      <alignment horizontal="center" shrinkToFit="1"/>
      <protection hidden="1"/>
    </xf>
    <xf numFmtId="185" fontId="35" fillId="15" borderId="43" xfId="0" applyNumberFormat="1" applyFont="1" applyFill="1" applyBorder="1" applyAlignment="1" applyProtection="1">
      <alignment horizontal="center" shrinkToFit="1"/>
      <protection hidden="1"/>
    </xf>
    <xf numFmtId="168" fontId="33" fillId="0" borderId="42" xfId="0" applyNumberFormat="1" applyFont="1" applyBorder="1" applyAlignment="1" applyProtection="1">
      <alignment horizontal="center" shrinkToFit="1"/>
      <protection hidden="1"/>
    </xf>
    <xf numFmtId="168" fontId="33" fillId="15" borderId="19" xfId="0" applyNumberFormat="1" applyFont="1" applyFill="1" applyBorder="1" applyAlignment="1" applyProtection="1">
      <alignment horizontal="center" shrinkToFit="1"/>
      <protection hidden="1"/>
    </xf>
    <xf numFmtId="168" fontId="49" fillId="0" borderId="285" xfId="0" applyNumberFormat="1" applyFont="1" applyBorder="1" applyAlignment="1" applyProtection="1">
      <alignment horizontal="center" vertical="center"/>
      <protection hidden="1"/>
    </xf>
    <xf numFmtId="0" fontId="33" fillId="0" borderId="268" xfId="0" applyFont="1" applyBorder="1" applyAlignment="1" applyProtection="1">
      <alignment horizontal="center" shrinkToFit="1"/>
      <protection hidden="1"/>
    </xf>
    <xf numFmtId="169" fontId="33" fillId="0" borderId="286" xfId="0" applyNumberFormat="1" applyFont="1" applyBorder="1" applyAlignment="1" applyProtection="1">
      <alignment horizontal="center" shrinkToFit="1"/>
      <protection hidden="1"/>
    </xf>
    <xf numFmtId="169" fontId="33" fillId="15" borderId="281" xfId="0" applyNumberFormat="1" applyFont="1" applyFill="1" applyBorder="1" applyAlignment="1" applyProtection="1">
      <alignment horizontal="center" shrinkToFit="1"/>
      <protection hidden="1"/>
    </xf>
    <xf numFmtId="170" fontId="34" fillId="5" borderId="287" xfId="0" applyNumberFormat="1" applyFont="1" applyFill="1" applyBorder="1" applyAlignment="1" applyProtection="1">
      <alignment horizontal="center" shrinkToFit="1"/>
      <protection hidden="1"/>
    </xf>
    <xf numFmtId="0" fontId="34" fillId="0" borderId="1" xfId="0" applyFont="1" applyBorder="1" applyAlignment="1" applyProtection="1">
      <alignment horizontal="center" shrinkToFit="1"/>
      <protection hidden="1"/>
    </xf>
    <xf numFmtId="170" fontId="34" fillId="5" borderId="12" xfId="0" applyNumberFormat="1" applyFont="1" applyFill="1" applyBorder="1" applyAlignment="1" applyProtection="1">
      <alignment horizontal="center" shrinkToFit="1"/>
      <protection hidden="1"/>
    </xf>
    <xf numFmtId="0" fontId="37" fillId="0" borderId="249" xfId="0" applyFont="1" applyBorder="1" applyAlignment="1" applyProtection="1">
      <alignment shrinkToFit="1"/>
      <protection hidden="1"/>
    </xf>
    <xf numFmtId="167" fontId="37" fillId="0" borderId="9" xfId="0" applyNumberFormat="1" applyFont="1" applyBorder="1" applyAlignment="1" applyProtection="1">
      <alignment horizontal="center" shrinkToFit="1"/>
      <protection hidden="1"/>
    </xf>
    <xf numFmtId="202" fontId="37" fillId="0" borderId="9" xfId="0" applyNumberFormat="1" applyFont="1" applyBorder="1" applyAlignment="1" applyProtection="1">
      <alignment horizontal="center" shrinkToFit="1"/>
      <protection hidden="1"/>
    </xf>
    <xf numFmtId="202" fontId="37" fillId="2" borderId="250" xfId="0" applyNumberFormat="1" applyFont="1" applyFill="1" applyBorder="1" applyAlignment="1" applyProtection="1">
      <alignment horizontal="center" shrinkToFit="1"/>
      <protection locked="0"/>
    </xf>
    <xf numFmtId="185" fontId="35" fillId="0" borderId="19" xfId="0" applyNumberFormat="1" applyFont="1" applyBorder="1" applyAlignment="1" applyProtection="1">
      <alignment horizontal="center" shrinkToFit="1"/>
      <protection hidden="1"/>
    </xf>
    <xf numFmtId="164" fontId="47" fillId="0" borderId="51" xfId="0" applyNumberFormat="1" applyFont="1" applyBorder="1" applyAlignment="1" applyProtection="1">
      <alignment horizontal="center" vertical="center" wrapText="1" shrinkToFit="1"/>
      <protection hidden="1"/>
    </xf>
    <xf numFmtId="0" fontId="34" fillId="0" borderId="32" xfId="0" applyFont="1" applyBorder="1" applyAlignment="1" applyProtection="1">
      <alignment horizontal="center" shrinkToFit="1"/>
      <protection hidden="1"/>
    </xf>
    <xf numFmtId="169" fontId="34" fillId="2" borderId="33" xfId="0" applyNumberFormat="1" applyFont="1" applyFill="1" applyBorder="1" applyAlignment="1" applyProtection="1">
      <alignment horizontal="center" shrinkToFit="1"/>
      <protection locked="0"/>
    </xf>
    <xf numFmtId="169" fontId="34" fillId="15" borderId="35" xfId="0" applyNumberFormat="1" applyFont="1" applyFill="1" applyBorder="1" applyAlignment="1" applyProtection="1">
      <alignment horizontal="center" shrinkToFit="1"/>
      <protection hidden="1"/>
    </xf>
    <xf numFmtId="170" fontId="34" fillId="5" borderId="37" xfId="0" applyNumberFormat="1" applyFont="1" applyFill="1" applyBorder="1" applyAlignment="1" applyProtection="1">
      <alignment horizontal="center" shrinkToFit="1"/>
      <protection hidden="1"/>
    </xf>
    <xf numFmtId="0" fontId="34" fillId="0" borderId="2" xfId="0" applyFont="1" applyBorder="1" applyAlignment="1" applyProtection="1">
      <alignment horizontal="center" shrinkToFit="1"/>
      <protection hidden="1"/>
    </xf>
    <xf numFmtId="169" fontId="33" fillId="0" borderId="17" xfId="0" applyNumberFormat="1" applyFont="1" applyBorder="1" applyAlignment="1" applyProtection="1">
      <alignment horizontal="center" shrinkToFit="1"/>
      <protection hidden="1"/>
    </xf>
    <xf numFmtId="170" fontId="34" fillId="5" borderId="13" xfId="0" applyNumberFormat="1" applyFont="1" applyFill="1" applyBorder="1" applyAlignment="1" applyProtection="1">
      <alignment horizontal="center" shrinkToFit="1"/>
      <protection hidden="1"/>
    </xf>
    <xf numFmtId="0" fontId="37" fillId="0" borderId="259" xfId="0" applyFont="1" applyBorder="1" applyAlignment="1" applyProtection="1">
      <alignment shrinkToFit="1"/>
      <protection hidden="1"/>
    </xf>
    <xf numFmtId="167" fontId="37" fillId="0" borderId="260" xfId="0" applyNumberFormat="1" applyFont="1" applyBorder="1" applyAlignment="1" applyProtection="1">
      <alignment horizontal="center" shrinkToFit="1"/>
      <protection hidden="1"/>
    </xf>
    <xf numFmtId="202" fontId="37" fillId="0" borderId="260" xfId="0" applyNumberFormat="1" applyFont="1" applyBorder="1" applyAlignment="1" applyProtection="1">
      <alignment horizontal="center" shrinkToFit="1"/>
      <protection hidden="1"/>
    </xf>
    <xf numFmtId="202" fontId="37" fillId="0" borderId="261" xfId="0" applyNumberFormat="1" applyFont="1" applyBorder="1" applyAlignment="1" applyProtection="1">
      <alignment horizontal="center" shrinkToFit="1"/>
      <protection hidden="1"/>
    </xf>
    <xf numFmtId="0" fontId="33" fillId="0" borderId="10" xfId="0" applyFont="1" applyBorder="1" applyAlignment="1" applyProtection="1">
      <alignment horizontal="center" shrinkToFit="1"/>
      <protection hidden="1"/>
    </xf>
    <xf numFmtId="169" fontId="33" fillId="0" borderId="16" xfId="0" applyNumberFormat="1" applyFont="1" applyBorder="1" applyAlignment="1" applyProtection="1">
      <alignment horizontal="center" shrinkToFit="1"/>
      <protection hidden="1"/>
    </xf>
    <xf numFmtId="169" fontId="33" fillId="15" borderId="36" xfId="0" applyNumberFormat="1" applyFont="1" applyFill="1" applyBorder="1" applyAlignment="1" applyProtection="1">
      <alignment horizontal="center" shrinkToFit="1"/>
      <protection hidden="1"/>
    </xf>
    <xf numFmtId="170" fontId="34" fillId="5" borderId="38" xfId="0" applyNumberFormat="1" applyFont="1" applyFill="1" applyBorder="1" applyAlignment="1" applyProtection="1">
      <alignment horizontal="center" shrinkToFit="1"/>
      <protection hidden="1"/>
    </xf>
    <xf numFmtId="0" fontId="37" fillId="0" borderId="258" xfId="0" applyFont="1" applyBorder="1" applyAlignment="1" applyProtection="1">
      <alignment shrinkToFit="1"/>
      <protection hidden="1"/>
    </xf>
    <xf numFmtId="167" fontId="37" fillId="0" borderId="25" xfId="0" applyNumberFormat="1" applyFont="1" applyBorder="1" applyAlignment="1" applyProtection="1">
      <alignment horizontal="center" shrinkToFit="1"/>
      <protection hidden="1"/>
    </xf>
    <xf numFmtId="202" fontId="37" fillId="0" borderId="25" xfId="0" applyNumberFormat="1" applyFont="1" applyBorder="1" applyAlignment="1" applyProtection="1">
      <alignment horizontal="center" shrinkToFit="1"/>
      <protection hidden="1"/>
    </xf>
    <xf numFmtId="202" fontId="37" fillId="0" borderId="214" xfId="0" applyNumberFormat="1" applyFont="1" applyBorder="1" applyAlignment="1" applyProtection="1">
      <alignment horizontal="center" shrinkToFit="1"/>
      <protection hidden="1"/>
    </xf>
    <xf numFmtId="0" fontId="33" fillId="0" borderId="11" xfId="0" applyFont="1" applyBorder="1" applyAlignment="1" applyProtection="1">
      <alignment horizontal="center" shrinkToFit="1"/>
      <protection hidden="1"/>
    </xf>
    <xf numFmtId="172" fontId="33" fillId="0" borderId="17" xfId="0" applyNumberFormat="1" applyFont="1" applyBorder="1" applyAlignment="1" applyProtection="1">
      <alignment horizontal="center" shrinkToFit="1"/>
      <protection hidden="1"/>
    </xf>
    <xf numFmtId="172" fontId="33" fillId="15" borderId="19" xfId="0" applyNumberFormat="1" applyFont="1" applyFill="1" applyBorder="1" applyAlignment="1" applyProtection="1">
      <alignment horizontal="center" shrinkToFit="1"/>
      <protection hidden="1"/>
    </xf>
    <xf numFmtId="170" fontId="34" fillId="5" borderId="6" xfId="0" applyNumberFormat="1" applyFont="1" applyFill="1" applyBorder="1" applyAlignment="1" applyProtection="1">
      <alignment horizontal="center" shrinkToFit="1"/>
      <protection hidden="1"/>
    </xf>
    <xf numFmtId="167" fontId="33" fillId="2" borderId="308" xfId="0" applyNumberFormat="1" applyFont="1" applyFill="1" applyBorder="1" applyAlignment="1" applyProtection="1">
      <alignment horizontal="center" shrinkToFit="1"/>
      <protection locked="0"/>
    </xf>
    <xf numFmtId="167" fontId="33" fillId="2" borderId="311" xfId="0" applyNumberFormat="1" applyFont="1" applyFill="1" applyBorder="1" applyAlignment="1" applyProtection="1">
      <alignment horizontal="center" shrinkToFit="1"/>
      <protection locked="0"/>
    </xf>
    <xf numFmtId="167" fontId="35" fillId="0" borderId="27" xfId="0" applyNumberFormat="1" applyFont="1" applyBorder="1" applyAlignment="1" applyProtection="1">
      <alignment horizontal="center" shrinkToFit="1"/>
      <protection hidden="1"/>
    </xf>
    <xf numFmtId="165" fontId="33" fillId="0" borderId="76" xfId="0" applyNumberFormat="1" applyFont="1" applyBorder="1" applyAlignment="1" applyProtection="1">
      <alignment horizontal="center" shrinkToFit="1"/>
      <protection hidden="1"/>
    </xf>
    <xf numFmtId="202" fontId="37" fillId="0" borderId="250" xfId="0" applyNumberFormat="1" applyFont="1" applyBorder="1" applyAlignment="1" applyProtection="1">
      <alignment horizontal="center" shrinkToFit="1"/>
      <protection hidden="1"/>
    </xf>
    <xf numFmtId="171" fontId="33" fillId="0" borderId="17" xfId="0" applyNumberFormat="1" applyFont="1" applyBorder="1" applyAlignment="1" applyProtection="1">
      <alignment horizontal="center" shrinkToFit="1"/>
      <protection hidden="1"/>
    </xf>
    <xf numFmtId="171" fontId="33" fillId="15" borderId="19" xfId="0" applyNumberFormat="1" applyFont="1" applyFill="1" applyBorder="1" applyAlignment="1" applyProtection="1">
      <alignment horizontal="center" shrinkToFit="1"/>
      <protection hidden="1"/>
    </xf>
    <xf numFmtId="190" fontId="33" fillId="7" borderId="5" xfId="0" applyNumberFormat="1" applyFont="1" applyFill="1" applyBorder="1" applyAlignment="1" applyProtection="1">
      <alignment horizontal="center" shrinkToFit="1"/>
      <protection hidden="1"/>
    </xf>
    <xf numFmtId="191" fontId="33" fillId="0" borderId="71" xfId="0" applyNumberFormat="1" applyFont="1" applyBorder="1" applyAlignment="1" applyProtection="1">
      <alignment horizontal="center" shrinkToFit="1"/>
      <protection hidden="1"/>
    </xf>
    <xf numFmtId="167" fontId="33" fillId="2" borderId="251" xfId="0" applyNumberFormat="1" applyFont="1" applyFill="1" applyBorder="1" applyAlignment="1" applyProtection="1">
      <alignment horizontal="center" shrinkToFit="1"/>
      <protection locked="0"/>
    </xf>
    <xf numFmtId="167" fontId="33" fillId="2" borderId="252" xfId="0" applyNumberFormat="1" applyFont="1" applyFill="1" applyBorder="1" applyAlignment="1" applyProtection="1">
      <alignment horizontal="center" shrinkToFit="1"/>
      <protection locked="0"/>
    </xf>
    <xf numFmtId="167" fontId="33" fillId="2" borderId="303" xfId="0" applyNumberFormat="1" applyFont="1" applyFill="1" applyBorder="1" applyAlignment="1" applyProtection="1">
      <alignment horizontal="center" shrinkToFit="1"/>
      <protection locked="0"/>
    </xf>
    <xf numFmtId="167" fontId="35" fillId="0" borderId="252" xfId="0" applyNumberFormat="1" applyFont="1" applyBorder="1" applyAlignment="1" applyProtection="1">
      <alignment horizontal="center" shrinkToFit="1"/>
      <protection hidden="1"/>
    </xf>
    <xf numFmtId="173" fontId="35" fillId="0" borderId="303" xfId="0" applyNumberFormat="1" applyFont="1" applyBorder="1" applyAlignment="1" applyProtection="1">
      <alignment horizontal="center" shrinkToFit="1"/>
      <protection hidden="1"/>
    </xf>
    <xf numFmtId="165" fontId="34" fillId="7" borderId="73" xfId="0" applyNumberFormat="1" applyFont="1" applyFill="1" applyBorder="1" applyAlignment="1" applyProtection="1">
      <alignment horizontal="center" shrinkToFit="1"/>
      <protection hidden="1"/>
    </xf>
    <xf numFmtId="0" fontId="37" fillId="0" borderId="251" xfId="0" applyFont="1" applyBorder="1" applyAlignment="1" applyProtection="1">
      <alignment shrinkToFit="1"/>
      <protection hidden="1"/>
    </xf>
    <xf numFmtId="167" fontId="37" fillId="0" borderId="252" xfId="0" applyNumberFormat="1" applyFont="1" applyBorder="1" applyAlignment="1" applyProtection="1">
      <alignment horizontal="center" shrinkToFit="1"/>
      <protection hidden="1"/>
    </xf>
    <xf numFmtId="202" fontId="37" fillId="0" borderId="252" xfId="0" applyNumberFormat="1" applyFont="1" applyBorder="1" applyAlignment="1" applyProtection="1">
      <alignment horizontal="center" shrinkToFit="1"/>
      <protection hidden="1"/>
    </xf>
    <xf numFmtId="202" fontId="37" fillId="0" borderId="253" xfId="0" applyNumberFormat="1" applyFont="1" applyBorder="1" applyAlignment="1" applyProtection="1">
      <alignment horizontal="center" shrinkToFit="1"/>
      <protection hidden="1"/>
    </xf>
    <xf numFmtId="185" fontId="35" fillId="2" borderId="39" xfId="0" applyNumberFormat="1" applyFont="1" applyFill="1" applyBorder="1" applyAlignment="1" applyProtection="1">
      <alignment horizontal="center" shrinkToFit="1"/>
      <protection locked="0"/>
    </xf>
    <xf numFmtId="185" fontId="35" fillId="2" borderId="255" xfId="0" applyNumberFormat="1" applyFont="1" applyFill="1" applyBorder="1" applyAlignment="1" applyProtection="1">
      <alignment horizontal="center" shrinkToFit="1"/>
      <protection locked="0"/>
    </xf>
    <xf numFmtId="185" fontId="35" fillId="7" borderId="257" xfId="0" applyNumberFormat="1" applyFont="1" applyFill="1" applyBorder="1" applyAlignment="1" applyProtection="1">
      <alignment horizontal="center" shrinkToFit="1"/>
      <protection hidden="1"/>
    </xf>
    <xf numFmtId="185" fontId="35" fillId="2" borderId="241" xfId="0" applyNumberFormat="1" applyFont="1" applyFill="1" applyBorder="1" applyAlignment="1" applyProtection="1">
      <alignment horizontal="center" shrinkToFit="1"/>
      <protection locked="0"/>
    </xf>
    <xf numFmtId="185" fontId="35" fillId="2" borderId="273" xfId="0" applyNumberFormat="1" applyFont="1" applyFill="1" applyBorder="1" applyAlignment="1" applyProtection="1">
      <alignment horizontal="center" shrinkToFit="1"/>
      <protection locked="0"/>
    </xf>
    <xf numFmtId="185" fontId="35" fillId="7" borderId="256" xfId="0" applyNumberFormat="1" applyFont="1" applyFill="1" applyBorder="1" applyAlignment="1" applyProtection="1">
      <alignment horizontal="center" shrinkToFit="1"/>
      <protection hidden="1"/>
    </xf>
    <xf numFmtId="185" fontId="35" fillId="2" borderId="50" xfId="0" applyNumberFormat="1" applyFont="1" applyFill="1" applyBorder="1" applyAlignment="1" applyProtection="1">
      <alignment horizontal="center" shrinkToFit="1"/>
      <protection locked="0"/>
    </xf>
    <xf numFmtId="185" fontId="35" fillId="7" borderId="45" xfId="0" applyNumberFormat="1" applyFont="1" applyFill="1" applyBorder="1" applyAlignment="1" applyProtection="1">
      <alignment horizontal="center" shrinkToFit="1"/>
      <protection hidden="1"/>
    </xf>
    <xf numFmtId="185" fontId="35" fillId="11" borderId="302" xfId="0" applyNumberFormat="1" applyFont="1" applyFill="1" applyBorder="1" applyAlignment="1" applyProtection="1">
      <alignment horizontal="center" shrinkToFit="1"/>
      <protection hidden="1"/>
    </xf>
    <xf numFmtId="185" fontId="35" fillId="11" borderId="252" xfId="0" applyNumberFormat="1" applyFont="1" applyFill="1" applyBorder="1" applyAlignment="1" applyProtection="1">
      <alignment horizontal="center" shrinkToFit="1"/>
      <protection hidden="1"/>
    </xf>
    <xf numFmtId="185" fontId="35" fillId="7" borderId="303" xfId="0" applyNumberFormat="1" applyFont="1" applyFill="1" applyBorder="1" applyAlignment="1" applyProtection="1">
      <alignment horizontal="center" shrinkToFit="1"/>
      <protection hidden="1"/>
    </xf>
    <xf numFmtId="185" fontId="35" fillId="11" borderId="241" xfId="0" applyNumberFormat="1" applyFont="1" applyFill="1" applyBorder="1" applyAlignment="1" applyProtection="1">
      <alignment horizontal="center" shrinkToFit="1"/>
      <protection hidden="1"/>
    </xf>
    <xf numFmtId="185" fontId="35" fillId="11" borderId="273" xfId="0" applyNumberFormat="1" applyFont="1" applyFill="1" applyBorder="1" applyAlignment="1" applyProtection="1">
      <alignment horizontal="center" shrinkToFit="1"/>
      <protection hidden="1"/>
    </xf>
    <xf numFmtId="185" fontId="35" fillId="15" borderId="256" xfId="0" applyNumberFormat="1" applyFont="1" applyFill="1" applyBorder="1" applyAlignment="1" applyProtection="1">
      <alignment horizontal="center" shrinkToFit="1"/>
      <protection hidden="1"/>
    </xf>
    <xf numFmtId="168" fontId="33" fillId="7" borderId="44" xfId="0" applyNumberFormat="1" applyFont="1" applyFill="1" applyBorder="1" applyAlignment="1" applyProtection="1">
      <alignment horizontal="center" shrinkToFit="1"/>
      <protection hidden="1"/>
    </xf>
    <xf numFmtId="168" fontId="33" fillId="15" borderId="20" xfId="0" applyNumberFormat="1" applyFont="1" applyFill="1" applyBorder="1" applyAlignment="1" applyProtection="1">
      <alignment horizontal="center" shrinkToFit="1"/>
      <protection hidden="1"/>
    </xf>
    <xf numFmtId="168" fontId="49" fillId="0" borderId="288" xfId="0" applyNumberFormat="1" applyFont="1" applyBorder="1" applyAlignment="1" applyProtection="1">
      <alignment horizontal="center" vertical="center"/>
      <protection hidden="1"/>
    </xf>
    <xf numFmtId="0" fontId="34" fillId="0" borderId="276" xfId="0" applyFont="1" applyBorder="1" applyAlignment="1" applyProtection="1">
      <alignment horizontal="center" shrinkToFit="1"/>
      <protection hidden="1"/>
    </xf>
    <xf numFmtId="171" fontId="34" fillId="0" borderId="273" xfId="0" applyNumberFormat="1" applyFont="1" applyBorder="1" applyAlignment="1" applyProtection="1">
      <alignment horizontal="center" shrinkToFit="1"/>
      <protection hidden="1"/>
    </xf>
    <xf numFmtId="171" fontId="34" fillId="15" borderId="257" xfId="0" applyNumberFormat="1" applyFont="1" applyFill="1" applyBorder="1" applyAlignment="1" applyProtection="1">
      <alignment horizontal="center" shrinkToFit="1"/>
      <protection hidden="1"/>
    </xf>
    <xf numFmtId="170" fontId="34" fillId="5" borderId="210" xfId="0" applyNumberFormat="1" applyFont="1" applyFill="1" applyBorder="1" applyAlignment="1" applyProtection="1">
      <alignment horizontal="center" shrinkToFit="1"/>
      <protection hidden="1"/>
    </xf>
    <xf numFmtId="0" fontId="50" fillId="0" borderId="0" xfId="0" applyFont="1"/>
    <xf numFmtId="185" fontId="35" fillId="2" borderId="1" xfId="0" applyNumberFormat="1" applyFont="1" applyFill="1" applyBorder="1" applyAlignment="1" applyProtection="1">
      <alignment horizontal="center" shrinkToFit="1"/>
      <protection locked="0"/>
    </xf>
    <xf numFmtId="185" fontId="35" fillId="0" borderId="18" xfId="0" applyNumberFormat="1" applyFont="1" applyBorder="1" applyAlignment="1" applyProtection="1">
      <alignment horizontal="center" shrinkToFit="1"/>
      <protection hidden="1"/>
    </xf>
    <xf numFmtId="164" fontId="47" fillId="0" borderId="289" xfId="0" applyNumberFormat="1" applyFont="1" applyBorder="1" applyAlignment="1" applyProtection="1">
      <alignment horizontal="center" vertical="center" wrapText="1" shrinkToFit="1"/>
      <protection hidden="1"/>
    </xf>
    <xf numFmtId="173" fontId="35" fillId="0" borderId="301" xfId="0" applyNumberFormat="1" applyFont="1" applyBorder="1" applyAlignment="1" applyProtection="1">
      <alignment horizontal="center" shrinkToFit="1"/>
      <protection hidden="1"/>
    </xf>
    <xf numFmtId="164" fontId="37" fillId="0" borderId="246" xfId="0" applyNumberFormat="1" applyFont="1" applyBorder="1" applyAlignment="1" applyProtection="1">
      <alignment shrinkToFit="1"/>
      <protection hidden="1"/>
    </xf>
    <xf numFmtId="0" fontId="34" fillId="0" borderId="3" xfId="0" applyFont="1" applyBorder="1" applyAlignment="1" applyProtection="1">
      <alignment horizontal="center" shrinkToFit="1"/>
      <protection hidden="1"/>
    </xf>
    <xf numFmtId="169" fontId="33" fillId="0" borderId="21" xfId="0" applyNumberFormat="1" applyFont="1" applyBorder="1" applyAlignment="1" applyProtection="1">
      <alignment horizontal="center" shrinkToFit="1"/>
      <protection hidden="1"/>
    </xf>
    <xf numFmtId="170" fontId="34" fillId="5" borderId="22" xfId="0" applyNumberFormat="1" applyFont="1" applyFill="1" applyBorder="1" applyAlignment="1" applyProtection="1">
      <alignment horizontal="center" shrinkToFit="1"/>
      <protection hidden="1"/>
    </xf>
    <xf numFmtId="164" fontId="37" fillId="0" borderId="249" xfId="0" applyNumberFormat="1" applyFont="1" applyBorder="1" applyAlignment="1" applyProtection="1">
      <alignment shrinkToFit="1"/>
      <protection hidden="1"/>
    </xf>
    <xf numFmtId="164" fontId="37" fillId="0" borderId="259" xfId="0" applyNumberFormat="1" applyFont="1" applyBorder="1" applyAlignment="1" applyProtection="1">
      <alignment shrinkToFit="1"/>
      <protection hidden="1"/>
    </xf>
    <xf numFmtId="164" fontId="37" fillId="0" borderId="258" xfId="0" applyNumberFormat="1" applyFont="1" applyBorder="1" applyAlignment="1" applyProtection="1">
      <alignment shrinkToFit="1"/>
      <protection hidden="1"/>
    </xf>
    <xf numFmtId="164" fontId="37" fillId="0" borderId="251" xfId="0" applyNumberFormat="1" applyFont="1" applyBorder="1" applyAlignment="1" applyProtection="1">
      <alignment shrinkToFit="1"/>
      <protection hidden="1"/>
    </xf>
    <xf numFmtId="169" fontId="33" fillId="0" borderId="0" xfId="0" applyNumberFormat="1" applyFont="1" applyProtection="1">
      <protection hidden="1"/>
    </xf>
    <xf numFmtId="169" fontId="34" fillId="2" borderId="33" xfId="0" applyNumberFormat="1" applyFont="1" applyFill="1" applyBorder="1" applyAlignment="1" applyProtection="1">
      <alignment horizontal="center" shrinkToFit="1"/>
      <protection locked="0" hidden="1"/>
    </xf>
    <xf numFmtId="191" fontId="33" fillId="0" borderId="74" xfId="0" applyNumberFormat="1" applyFont="1" applyBorder="1" applyAlignment="1" applyProtection="1">
      <alignment horizontal="center" shrinkToFit="1"/>
      <protection hidden="1"/>
    </xf>
    <xf numFmtId="167" fontId="33" fillId="2" borderId="27" xfId="0" applyNumberFormat="1" applyFont="1" applyFill="1" applyBorder="1" applyAlignment="1" applyProtection="1">
      <alignment horizontal="center" shrinkToFit="1"/>
      <protection locked="0"/>
    </xf>
    <xf numFmtId="4" fontId="34" fillId="8" borderId="310" xfId="0" applyNumberFormat="1" applyFont="1" applyFill="1" applyBorder="1" applyAlignment="1" applyProtection="1">
      <alignment horizontal="center" shrinkToFit="1"/>
      <protection hidden="1"/>
    </xf>
    <xf numFmtId="165" fontId="42" fillId="0" borderId="309" xfId="0" applyNumberFormat="1" applyFont="1" applyBorder="1" applyAlignment="1" applyProtection="1">
      <alignment horizontal="center" shrinkToFit="1"/>
      <protection hidden="1"/>
    </xf>
    <xf numFmtId="3" fontId="42" fillId="0" borderId="313" xfId="0" applyNumberFormat="1" applyFont="1" applyBorder="1" applyAlignment="1" applyProtection="1">
      <alignment horizontal="center" shrinkToFit="1"/>
      <protection hidden="1"/>
    </xf>
    <xf numFmtId="167" fontId="36" fillId="8" borderId="315" xfId="0" applyNumberFormat="1" applyFont="1" applyFill="1" applyBorder="1" applyAlignment="1" applyProtection="1">
      <alignment horizontal="center" shrinkToFit="1"/>
      <protection hidden="1"/>
    </xf>
    <xf numFmtId="173" fontId="36" fillId="0" borderId="309" xfId="0" applyNumberFormat="1" applyFont="1" applyBorder="1" applyAlignment="1" applyProtection="1">
      <alignment horizontal="center" shrinkToFit="1"/>
      <protection hidden="1"/>
    </xf>
    <xf numFmtId="0" fontId="33" fillId="0" borderId="47" xfId="0" applyFont="1" applyBorder="1" applyAlignment="1" applyProtection="1">
      <alignment horizontal="center"/>
      <protection hidden="1"/>
    </xf>
    <xf numFmtId="0" fontId="50" fillId="0" borderId="0" xfId="0" applyFont="1" applyProtection="1">
      <protection hidden="1"/>
    </xf>
    <xf numFmtId="0" fontId="14" fillId="4" borderId="354" xfId="0" applyFont="1" applyFill="1" applyBorder="1" applyAlignment="1" applyProtection="1">
      <alignment horizontal="center" shrinkToFit="1"/>
      <protection hidden="1"/>
    </xf>
    <xf numFmtId="0" fontId="9" fillId="0" borderId="0" xfId="3"/>
    <xf numFmtId="0" fontId="14" fillId="4" borderId="355" xfId="3" applyFont="1" applyFill="1" applyBorder="1" applyAlignment="1" applyProtection="1">
      <alignment horizontal="center" shrinkToFit="1"/>
      <protection hidden="1"/>
    </xf>
    <xf numFmtId="0" fontId="51" fillId="0" borderId="357" xfId="3" applyFont="1" applyBorder="1" applyAlignment="1">
      <alignment horizontal="center"/>
    </xf>
    <xf numFmtId="0" fontId="2" fillId="3" borderId="358" xfId="3" applyFont="1" applyFill="1" applyBorder="1" applyAlignment="1" applyProtection="1">
      <alignment horizontal="center" shrinkToFit="1"/>
      <protection hidden="1"/>
    </xf>
    <xf numFmtId="0" fontId="2" fillId="3" borderId="359" xfId="3" applyFont="1" applyFill="1" applyBorder="1" applyAlignment="1" applyProtection="1">
      <alignment horizontal="center" shrinkToFit="1"/>
      <protection hidden="1"/>
    </xf>
    <xf numFmtId="0" fontId="14" fillId="26" borderId="360" xfId="3" applyFont="1" applyFill="1" applyBorder="1" applyAlignment="1" applyProtection="1">
      <alignment horizontal="center" shrinkToFit="1"/>
      <protection hidden="1"/>
    </xf>
    <xf numFmtId="0" fontId="14" fillId="26" borderId="361" xfId="3" applyFont="1" applyFill="1" applyBorder="1" applyAlignment="1" applyProtection="1">
      <alignment horizontal="center" shrinkToFit="1"/>
      <protection hidden="1"/>
    </xf>
    <xf numFmtId="0" fontId="8" fillId="27" borderId="362" xfId="3" applyFont="1" applyFill="1" applyBorder="1" applyAlignment="1" applyProtection="1">
      <alignment horizontal="center" shrinkToFit="1"/>
      <protection hidden="1"/>
    </xf>
    <xf numFmtId="0" fontId="8" fillId="27" borderId="363" xfId="3" applyFont="1" applyFill="1" applyBorder="1" applyAlignment="1" applyProtection="1">
      <alignment horizontal="center" shrinkToFit="1"/>
      <protection hidden="1"/>
    </xf>
    <xf numFmtId="205" fontId="8" fillId="4" borderId="333" xfId="3" applyNumberFormat="1" applyFont="1" applyFill="1" applyBorder="1" applyAlignment="1" applyProtection="1">
      <alignment horizontal="center" shrinkToFit="1"/>
      <protection hidden="1"/>
    </xf>
    <xf numFmtId="203" fontId="9" fillId="0" borderId="258" xfId="3" applyNumberFormat="1" applyBorder="1" applyAlignment="1" applyProtection="1">
      <alignment horizontal="center"/>
      <protection hidden="1"/>
    </xf>
    <xf numFmtId="203" fontId="9" fillId="0" borderId="26" xfId="3" applyNumberFormat="1" applyBorder="1" applyAlignment="1" applyProtection="1">
      <alignment horizontal="center"/>
      <protection hidden="1"/>
    </xf>
    <xf numFmtId="167" fontId="9" fillId="0" borderId="258" xfId="3" applyNumberFormat="1" applyBorder="1" applyAlignment="1" applyProtection="1">
      <alignment horizontal="center"/>
      <protection hidden="1"/>
    </xf>
    <xf numFmtId="167" fontId="9" fillId="0" borderId="364" xfId="3" applyNumberFormat="1" applyBorder="1" applyAlignment="1" applyProtection="1">
      <alignment horizontal="center"/>
      <protection hidden="1"/>
    </xf>
    <xf numFmtId="202" fontId="9" fillId="0" borderId="365" xfId="3" applyNumberFormat="1" applyBorder="1" applyAlignment="1" applyProtection="1">
      <alignment horizontal="center"/>
      <protection hidden="1"/>
    </xf>
    <xf numFmtId="202" fontId="9" fillId="0" borderId="214" xfId="3" applyNumberFormat="1" applyBorder="1" applyAlignment="1" applyProtection="1">
      <alignment horizontal="center"/>
      <protection hidden="1"/>
    </xf>
    <xf numFmtId="203" fontId="9" fillId="0" borderId="249" xfId="3" applyNumberFormat="1" applyBorder="1" applyAlignment="1" applyProtection="1">
      <alignment horizontal="center"/>
      <protection hidden="1"/>
    </xf>
    <xf numFmtId="203" fontId="9" fillId="0" borderId="213" xfId="3" applyNumberFormat="1" applyBorder="1" applyAlignment="1" applyProtection="1">
      <alignment horizontal="center"/>
      <protection hidden="1"/>
    </xf>
    <xf numFmtId="167" fontId="9" fillId="0" borderId="249" xfId="3" applyNumberFormat="1" applyBorder="1" applyAlignment="1" applyProtection="1">
      <alignment horizontal="center"/>
      <protection hidden="1"/>
    </xf>
    <xf numFmtId="167" fontId="9" fillId="0" borderId="301" xfId="3" applyNumberFormat="1" applyBorder="1" applyAlignment="1" applyProtection="1">
      <alignment horizontal="center"/>
      <protection hidden="1"/>
    </xf>
    <xf numFmtId="202" fontId="9" fillId="0" borderId="366" xfId="3" applyNumberFormat="1" applyBorder="1" applyAlignment="1" applyProtection="1">
      <alignment horizontal="center"/>
      <protection hidden="1"/>
    </xf>
    <xf numFmtId="202" fontId="9" fillId="0" borderId="250" xfId="3" applyNumberFormat="1" applyBorder="1" applyAlignment="1" applyProtection="1">
      <alignment horizontal="center"/>
      <protection hidden="1"/>
    </xf>
    <xf numFmtId="202" fontId="9" fillId="31" borderId="250" xfId="3" applyNumberFormat="1" applyFill="1" applyBorder="1" applyAlignment="1" applyProtection="1">
      <alignment horizontal="center"/>
      <protection locked="0"/>
    </xf>
    <xf numFmtId="203" fontId="9" fillId="0" borderId="251" xfId="3" applyNumberFormat="1" applyBorder="1" applyAlignment="1" applyProtection="1">
      <alignment horizontal="center"/>
      <protection hidden="1"/>
    </xf>
    <xf numFmtId="203" fontId="9" fillId="0" borderId="71" xfId="3" applyNumberFormat="1" applyBorder="1" applyAlignment="1" applyProtection="1">
      <alignment horizontal="center"/>
      <protection hidden="1"/>
    </xf>
    <xf numFmtId="167" fontId="9" fillId="0" borderId="251" xfId="3" applyNumberFormat="1" applyBorder="1" applyAlignment="1" applyProtection="1">
      <alignment horizontal="center"/>
      <protection hidden="1"/>
    </xf>
    <xf numFmtId="167" fontId="9" fillId="0" borderId="303" xfId="3" applyNumberFormat="1" applyBorder="1" applyAlignment="1" applyProtection="1">
      <alignment horizontal="center"/>
      <protection hidden="1"/>
    </xf>
    <xf numFmtId="202" fontId="9" fillId="0" borderId="367" xfId="3" applyNumberFormat="1" applyBorder="1" applyAlignment="1" applyProtection="1">
      <alignment horizontal="center"/>
      <protection hidden="1"/>
    </xf>
    <xf numFmtId="202" fontId="9" fillId="31" borderId="368" xfId="3" applyNumberFormat="1" applyFill="1" applyBorder="1" applyAlignment="1" applyProtection="1">
      <alignment horizontal="center"/>
      <protection locked="0"/>
    </xf>
    <xf numFmtId="0" fontId="9" fillId="0" borderId="47" xfId="3" applyBorder="1"/>
    <xf numFmtId="189" fontId="16" fillId="0" borderId="369" xfId="1" applyNumberFormat="1" applyFont="1" applyFill="1" applyBorder="1" applyAlignment="1" applyProtection="1">
      <alignment horizontal="center" vertical="center" shrinkToFit="1"/>
      <protection hidden="1"/>
    </xf>
    <xf numFmtId="189" fontId="16" fillId="0" borderId="370" xfId="1" applyNumberFormat="1" applyFont="1" applyFill="1" applyBorder="1" applyAlignment="1" applyProtection="1">
      <alignment horizontal="center" vertical="center" shrinkToFit="1"/>
      <protection hidden="1"/>
    </xf>
    <xf numFmtId="189" fontId="16" fillId="0" borderId="371" xfId="1" applyNumberFormat="1" applyFont="1" applyFill="1" applyBorder="1" applyAlignment="1" applyProtection="1">
      <alignment horizontal="center" vertical="center" shrinkToFit="1"/>
      <protection hidden="1"/>
    </xf>
    <xf numFmtId="206" fontId="16" fillId="0" borderId="225" xfId="1" applyNumberFormat="1" applyFont="1" applyFill="1" applyBorder="1" applyAlignment="1" applyProtection="1">
      <alignment horizontal="center" vertical="center" shrinkToFit="1"/>
      <protection hidden="1"/>
    </xf>
    <xf numFmtId="206" fontId="16" fillId="0" borderId="226" xfId="1" applyNumberFormat="1" applyFont="1" applyFill="1" applyBorder="1" applyAlignment="1" applyProtection="1">
      <alignment horizontal="center" vertical="center" shrinkToFit="1"/>
      <protection hidden="1"/>
    </xf>
    <xf numFmtId="207" fontId="16" fillId="0" borderId="227" xfId="1" applyNumberFormat="1" applyFont="1" applyFill="1" applyBorder="1" applyAlignment="1" applyProtection="1">
      <alignment horizontal="center" vertical="center" shrinkToFit="1"/>
      <protection hidden="1"/>
    </xf>
    <xf numFmtId="206" fontId="16" fillId="0" borderId="228" xfId="1" applyNumberFormat="1" applyFont="1" applyFill="1" applyBorder="1" applyAlignment="1" applyProtection="1">
      <alignment horizontal="center" vertical="center" shrinkToFit="1"/>
      <protection hidden="1"/>
    </xf>
    <xf numFmtId="206" fontId="16" fillId="0" borderId="372" xfId="1" applyNumberFormat="1" applyFont="1" applyFill="1" applyBorder="1" applyAlignment="1" applyProtection="1">
      <alignment horizontal="center" vertical="center" shrinkToFit="1"/>
      <protection hidden="1"/>
    </xf>
    <xf numFmtId="188" fontId="16" fillId="0" borderId="373" xfId="1" applyNumberFormat="1" applyFont="1" applyFill="1" applyBorder="1" applyAlignment="1" applyProtection="1">
      <alignment horizontal="center" vertical="center" shrinkToFit="1"/>
      <protection hidden="1"/>
    </xf>
    <xf numFmtId="188" fontId="16" fillId="0" borderId="374" xfId="1" applyNumberFormat="1" applyFont="1" applyFill="1" applyBorder="1" applyAlignment="1" applyProtection="1">
      <alignment horizontal="center" vertical="center" shrinkToFit="1"/>
      <protection hidden="1"/>
    </xf>
    <xf numFmtId="206" fontId="16" fillId="0" borderId="375" xfId="1" applyNumberFormat="1" applyFont="1" applyFill="1" applyBorder="1" applyAlignment="1" applyProtection="1">
      <alignment horizontal="center" vertical="center" shrinkToFit="1"/>
      <protection hidden="1"/>
    </xf>
    <xf numFmtId="194" fontId="16" fillId="0" borderId="370" xfId="1" applyNumberFormat="1" applyFont="1" applyFill="1" applyBorder="1" applyAlignment="1" applyProtection="1">
      <alignment horizontal="center" vertical="center" shrinkToFit="1"/>
      <protection hidden="1"/>
    </xf>
    <xf numFmtId="193" fontId="16" fillId="0" borderId="371" xfId="1" applyNumberFormat="1" applyFont="1" applyFill="1" applyBorder="1" applyAlignment="1" applyProtection="1">
      <alignment horizontal="center" vertical="center" shrinkToFit="1"/>
      <protection hidden="1"/>
    </xf>
    <xf numFmtId="193" fontId="16" fillId="0" borderId="372" xfId="1" applyNumberFormat="1" applyFont="1" applyFill="1" applyBorder="1" applyAlignment="1" applyProtection="1">
      <alignment horizontal="center" vertical="center" shrinkToFit="1"/>
      <protection hidden="1"/>
    </xf>
    <xf numFmtId="189" fontId="16" fillId="0" borderId="223" xfId="1" applyNumberFormat="1" applyFont="1" applyFill="1" applyBorder="1" applyAlignment="1" applyProtection="1">
      <alignment horizontal="center" vertical="center" shrinkToFit="1"/>
      <protection hidden="1"/>
    </xf>
    <xf numFmtId="206" fontId="16" fillId="0" borderId="227" xfId="1" applyNumberFormat="1" applyFont="1" applyFill="1" applyBorder="1" applyAlignment="1" applyProtection="1">
      <alignment horizontal="center" vertical="center" shrinkToFit="1"/>
      <protection hidden="1"/>
    </xf>
    <xf numFmtId="188" fontId="16" fillId="0" borderId="369" xfId="1" applyNumberFormat="1" applyFont="1" applyFill="1" applyBorder="1" applyAlignment="1" applyProtection="1">
      <alignment horizontal="center" vertical="center" shrinkToFit="1"/>
      <protection hidden="1"/>
    </xf>
    <xf numFmtId="0" fontId="3" fillId="7" borderId="221" xfId="3" applyFont="1" applyFill="1" applyBorder="1" applyAlignment="1" applyProtection="1">
      <alignment horizontal="center" shrinkToFit="1"/>
      <protection hidden="1"/>
    </xf>
    <xf numFmtId="0" fontId="3" fillId="7" borderId="222" xfId="3" applyFont="1" applyFill="1" applyBorder="1" applyAlignment="1" applyProtection="1">
      <alignment horizontal="center" shrinkToFit="1"/>
      <protection hidden="1"/>
    </xf>
    <xf numFmtId="0" fontId="3" fillId="7" borderId="224" xfId="3" applyFont="1" applyFill="1" applyBorder="1" applyAlignment="1" applyProtection="1">
      <alignment horizontal="center" shrinkToFit="1"/>
      <protection hidden="1"/>
    </xf>
    <xf numFmtId="0" fontId="35" fillId="0" borderId="312" xfId="0" applyFont="1" applyBorder="1" applyAlignment="1" applyProtection="1">
      <alignment horizontal="right"/>
      <protection hidden="1"/>
    </xf>
    <xf numFmtId="0" fontId="35" fillId="0" borderId="327" xfId="0" applyFont="1" applyBorder="1" applyAlignment="1" applyProtection="1">
      <alignment horizontal="right"/>
      <protection hidden="1"/>
    </xf>
    <xf numFmtId="0" fontId="34" fillId="0" borderId="274" xfId="0" applyFont="1" applyBorder="1" applyAlignment="1" applyProtection="1">
      <alignment horizontal="right" shrinkToFit="1"/>
      <protection hidden="1"/>
    </xf>
    <xf numFmtId="0" fontId="34" fillId="0" borderId="15" xfId="0" applyFont="1" applyBorder="1" applyAlignment="1" applyProtection="1">
      <alignment horizontal="right" shrinkToFit="1"/>
      <protection hidden="1"/>
    </xf>
    <xf numFmtId="0" fontId="34" fillId="0" borderId="18" xfId="0" applyFont="1" applyBorder="1" applyAlignment="1" applyProtection="1">
      <alignment horizontal="right" shrinkToFit="1"/>
      <protection hidden="1"/>
    </xf>
    <xf numFmtId="0" fontId="35" fillId="0" borderId="2" xfId="0" applyFont="1" applyBorder="1" applyAlignment="1" applyProtection="1">
      <alignment horizontal="right" shrinkToFit="1"/>
      <protection hidden="1"/>
    </xf>
    <xf numFmtId="0" fontId="35" fillId="0" borderId="17" xfId="0" applyFont="1" applyBorder="1" applyAlignment="1" applyProtection="1">
      <alignment horizontal="right" shrinkToFit="1"/>
      <protection hidden="1"/>
    </xf>
    <xf numFmtId="0" fontId="35" fillId="0" borderId="19" xfId="0" applyFont="1" applyBorder="1" applyAlignment="1" applyProtection="1">
      <alignment horizontal="right" shrinkToFit="1"/>
      <protection hidden="1"/>
    </xf>
    <xf numFmtId="0" fontId="34" fillId="18" borderId="263" xfId="0" applyFont="1" applyFill="1" applyBorder="1" applyAlignment="1" applyProtection="1">
      <alignment shrinkToFit="1"/>
      <protection locked="0"/>
    </xf>
    <xf numFmtId="0" fontId="34" fillId="18" borderId="15" xfId="0" applyFont="1" applyFill="1" applyBorder="1" applyAlignment="1" applyProtection="1">
      <alignment shrinkToFit="1"/>
      <protection locked="0"/>
    </xf>
    <xf numFmtId="0" fontId="34" fillId="18" borderId="12" xfId="0" applyFont="1" applyFill="1" applyBorder="1" applyAlignment="1" applyProtection="1">
      <alignment shrinkToFit="1"/>
      <protection locked="0"/>
    </xf>
    <xf numFmtId="0" fontId="36" fillId="18" borderId="237" xfId="0" applyFont="1" applyFill="1" applyBorder="1" applyAlignment="1" applyProtection="1">
      <alignment shrinkToFit="1"/>
      <protection locked="0"/>
    </xf>
    <xf numFmtId="0" fontId="36" fillId="18" borderId="17" xfId="0" applyFont="1" applyFill="1" applyBorder="1" applyAlignment="1" applyProtection="1">
      <alignment shrinkToFit="1"/>
      <protection locked="0"/>
    </xf>
    <xf numFmtId="0" fontId="36" fillId="18" borderId="13" xfId="0" applyFont="1" applyFill="1" applyBorder="1" applyAlignment="1" applyProtection="1">
      <alignment shrinkToFit="1"/>
      <protection locked="0"/>
    </xf>
    <xf numFmtId="0" fontId="37" fillId="10" borderId="51" xfId="0" applyFont="1" applyFill="1" applyBorder="1" applyAlignment="1" applyProtection="1">
      <alignment horizontal="center" vertical="center" wrapText="1"/>
      <protection hidden="1"/>
    </xf>
    <xf numFmtId="0" fontId="37" fillId="10" borderId="52" xfId="0" applyFont="1" applyFill="1" applyBorder="1" applyAlignment="1" applyProtection="1">
      <alignment horizontal="center" vertical="center" wrapText="1"/>
      <protection hidden="1"/>
    </xf>
    <xf numFmtId="0" fontId="34" fillId="21" borderId="277" xfId="0" applyFont="1" applyFill="1" applyBorder="1" applyAlignment="1" applyProtection="1">
      <alignment horizontal="center" shrinkToFit="1"/>
      <protection hidden="1"/>
    </xf>
    <xf numFmtId="0" fontId="34" fillId="21" borderId="278" xfId="0" applyFont="1" applyFill="1" applyBorder="1" applyAlignment="1" applyProtection="1">
      <alignment horizontal="center" shrinkToFit="1"/>
      <protection hidden="1"/>
    </xf>
    <xf numFmtId="0" fontId="34" fillId="21" borderId="279" xfId="0" applyFont="1" applyFill="1" applyBorder="1" applyAlignment="1" applyProtection="1">
      <alignment horizontal="center" shrinkToFit="1"/>
      <protection hidden="1"/>
    </xf>
    <xf numFmtId="0" fontId="40" fillId="18" borderId="139" xfId="0" applyFont="1" applyFill="1" applyBorder="1" applyAlignment="1" applyProtection="1">
      <alignment horizontal="left" shrinkToFit="1"/>
      <protection locked="0"/>
    </xf>
    <xf numFmtId="0" fontId="40" fillId="18" borderId="140" xfId="0" applyFont="1" applyFill="1" applyBorder="1" applyAlignment="1" applyProtection="1">
      <alignment horizontal="left" shrinkToFit="1"/>
      <protection locked="0"/>
    </xf>
    <xf numFmtId="0" fontId="33" fillId="0" borderId="254" xfId="0" applyFont="1" applyBorder="1" applyAlignment="1" applyProtection="1">
      <alignment horizontal="right" shrinkToFit="1"/>
      <protection hidden="1"/>
    </xf>
    <xf numFmtId="0" fontId="33" fillId="0" borderId="257" xfId="0" applyFont="1" applyBorder="1" applyAlignment="1" applyProtection="1">
      <alignment horizontal="right" shrinkToFit="1"/>
      <protection hidden="1"/>
    </xf>
    <xf numFmtId="187" fontId="34" fillId="2" borderId="263" xfId="0" applyNumberFormat="1" applyFont="1" applyFill="1" applyBorder="1" applyAlignment="1" applyProtection="1">
      <alignment horizontal="left" shrinkToFit="1"/>
      <protection locked="0"/>
    </xf>
    <xf numFmtId="187" fontId="34" fillId="2" borderId="12" xfId="0" applyNumberFormat="1" applyFont="1" applyFill="1" applyBorder="1" applyAlignment="1" applyProtection="1">
      <alignment horizontal="left" shrinkToFit="1"/>
      <protection locked="0"/>
    </xf>
    <xf numFmtId="0" fontId="34" fillId="21" borderId="264" xfId="0" applyFont="1" applyFill="1" applyBorder="1" applyAlignment="1" applyProtection="1">
      <alignment horizontal="center" shrinkToFit="1"/>
      <protection hidden="1"/>
    </xf>
    <xf numFmtId="0" fontId="34" fillId="21" borderId="270" xfId="0" applyFont="1" applyFill="1" applyBorder="1" applyAlignment="1" applyProtection="1">
      <alignment horizontal="center" shrinkToFit="1"/>
      <protection hidden="1"/>
    </xf>
    <xf numFmtId="166" fontId="34" fillId="2" borderId="263" xfId="0" applyNumberFormat="1" applyFont="1" applyFill="1" applyBorder="1" applyAlignment="1" applyProtection="1">
      <alignment horizontal="left" shrinkToFit="1"/>
      <protection locked="0"/>
    </xf>
    <xf numFmtId="166" fontId="34" fillId="2" borderId="12" xfId="0" applyNumberFormat="1" applyFont="1" applyFill="1" applyBorder="1" applyAlignment="1" applyProtection="1">
      <alignment horizontal="left" shrinkToFit="1"/>
      <protection locked="0"/>
    </xf>
    <xf numFmtId="0" fontId="34" fillId="2" borderId="255" xfId="0" applyFont="1" applyFill="1" applyBorder="1" applyAlignment="1" applyProtection="1">
      <alignment horizontal="left" shrinkToFit="1"/>
      <protection locked="0"/>
    </xf>
    <xf numFmtId="0" fontId="34" fillId="2" borderId="275" xfId="0" applyFont="1" applyFill="1" applyBorder="1" applyAlignment="1" applyProtection="1">
      <alignment horizontal="left" shrinkToFit="1"/>
      <protection locked="0"/>
    </xf>
    <xf numFmtId="0" fontId="33" fillId="0" borderId="274" xfId="0" applyFont="1" applyBorder="1" applyAlignment="1" applyProtection="1">
      <alignment horizontal="right" shrinkToFit="1"/>
      <protection hidden="1"/>
    </xf>
    <xf numFmtId="0" fontId="33" fillId="0" borderId="18" xfId="0" applyFont="1" applyBorder="1" applyAlignment="1" applyProtection="1">
      <alignment horizontal="right" shrinkToFit="1"/>
      <protection hidden="1"/>
    </xf>
    <xf numFmtId="0" fontId="37" fillId="0" borderId="269" xfId="0" applyFont="1" applyBorder="1" applyAlignment="1" applyProtection="1">
      <alignment horizontal="right" shrinkToFit="1"/>
      <protection hidden="1"/>
    </xf>
    <xf numFmtId="0" fontId="37" fillId="0" borderId="264" xfId="0" applyFont="1" applyBorder="1" applyAlignment="1" applyProtection="1">
      <alignment horizontal="right" shrinkToFit="1"/>
      <protection hidden="1"/>
    </xf>
    <xf numFmtId="0" fontId="40" fillId="0" borderId="138" xfId="0" applyFont="1" applyBorder="1" applyAlignment="1" applyProtection="1">
      <alignment horizontal="right" shrinkToFit="1"/>
      <protection hidden="1"/>
    </xf>
    <xf numFmtId="0" fontId="40" fillId="0" borderId="264" xfId="0" applyFont="1" applyBorder="1" applyAlignment="1" applyProtection="1">
      <alignment horizontal="right" shrinkToFit="1"/>
      <protection hidden="1"/>
    </xf>
    <xf numFmtId="0" fontId="40" fillId="0" borderId="139" xfId="0" applyFont="1" applyBorder="1" applyAlignment="1" applyProtection="1">
      <alignment horizontal="right" shrinkToFit="1"/>
      <protection hidden="1"/>
    </xf>
    <xf numFmtId="0" fontId="36" fillId="2" borderId="263" xfId="0" applyFont="1" applyFill="1" applyBorder="1" applyAlignment="1" applyProtection="1">
      <alignment horizontal="left" shrinkToFit="1"/>
      <protection locked="0"/>
    </xf>
    <xf numFmtId="0" fontId="36" fillId="2" borderId="12" xfId="0" applyFont="1" applyFill="1" applyBorder="1" applyAlignment="1" applyProtection="1">
      <alignment horizontal="left" shrinkToFit="1"/>
      <protection locked="0"/>
    </xf>
    <xf numFmtId="0" fontId="36" fillId="0" borderId="255" xfId="0" applyFont="1" applyBorder="1" applyAlignment="1" applyProtection="1">
      <alignment horizontal="left" shrinkToFit="1"/>
      <protection hidden="1"/>
    </xf>
    <xf numFmtId="0" fontId="36" fillId="0" borderId="275" xfId="0" applyFont="1" applyBorder="1" applyAlignment="1" applyProtection="1">
      <alignment horizontal="left" shrinkToFit="1"/>
      <protection hidden="1"/>
    </xf>
    <xf numFmtId="0" fontId="40" fillId="18" borderId="145" xfId="0" applyFont="1" applyFill="1" applyBorder="1" applyAlignment="1" applyProtection="1">
      <alignment horizontal="left" shrinkToFit="1"/>
      <protection locked="0"/>
    </xf>
    <xf numFmtId="0" fontId="40" fillId="18" borderId="146" xfId="0" applyFont="1" applyFill="1" applyBorder="1" applyAlignment="1" applyProtection="1">
      <alignment horizontal="left" shrinkToFit="1"/>
      <protection locked="0"/>
    </xf>
    <xf numFmtId="0" fontId="40" fillId="18" borderId="72" xfId="0" applyFont="1" applyFill="1" applyBorder="1" applyAlignment="1" applyProtection="1">
      <alignment horizontal="left" shrinkToFit="1"/>
      <protection locked="0"/>
    </xf>
    <xf numFmtId="0" fontId="40" fillId="18" borderId="79" xfId="0" applyFont="1" applyFill="1" applyBorder="1" applyAlignment="1" applyProtection="1">
      <alignment horizontal="left" shrinkToFit="1"/>
      <protection locked="0"/>
    </xf>
    <xf numFmtId="0" fontId="34" fillId="20" borderId="7" xfId="0" applyFont="1" applyFill="1" applyBorder="1" applyAlignment="1" applyProtection="1">
      <alignment horizontal="center" vertical="center" textRotation="90" shrinkToFit="1"/>
      <protection hidden="1"/>
    </xf>
    <xf numFmtId="0" fontId="34" fillId="20" borderId="8" xfId="0" applyFont="1" applyFill="1" applyBorder="1" applyAlignment="1" applyProtection="1">
      <alignment horizontal="center" vertical="center" textRotation="90" shrinkToFit="1"/>
      <protection hidden="1"/>
    </xf>
    <xf numFmtId="0" fontId="34" fillId="20" borderId="28" xfId="0" applyFont="1" applyFill="1" applyBorder="1" applyAlignment="1" applyProtection="1">
      <alignment horizontal="center" vertical="center" textRotation="90" shrinkToFit="1"/>
      <protection hidden="1"/>
    </xf>
    <xf numFmtId="0" fontId="36" fillId="2" borderId="257" xfId="0" applyFont="1" applyFill="1" applyBorder="1" applyAlignment="1" applyProtection="1">
      <alignment horizontal="left" shrinkToFit="1"/>
      <protection locked="0"/>
    </xf>
    <xf numFmtId="0" fontId="36" fillId="2" borderId="212" xfId="0" applyFont="1" applyFill="1" applyBorder="1" applyAlignment="1" applyProtection="1">
      <alignment horizontal="left" shrinkToFit="1"/>
      <protection locked="0"/>
    </xf>
    <xf numFmtId="0" fontId="35" fillId="0" borderId="268" xfId="0" applyFont="1" applyBorder="1" applyAlignment="1" applyProtection="1">
      <alignment horizontal="right" shrinkToFit="1"/>
      <protection hidden="1"/>
    </xf>
    <xf numFmtId="0" fontId="35" fillId="0" borderId="72" xfId="0" applyFont="1" applyBorder="1" applyAlignment="1" applyProtection="1">
      <alignment horizontal="right" shrinkToFit="1"/>
      <protection hidden="1"/>
    </xf>
    <xf numFmtId="0" fontId="34" fillId="0" borderId="236" xfId="0" applyFont="1" applyBorder="1" applyAlignment="1" applyProtection="1">
      <alignment horizontal="right" shrinkToFit="1"/>
      <protection hidden="1"/>
    </xf>
    <xf numFmtId="0" fontId="34" fillId="0" borderId="271" xfId="0" applyFont="1" applyBorder="1" applyAlignment="1" applyProtection="1">
      <alignment horizontal="right" shrinkToFit="1"/>
      <protection hidden="1"/>
    </xf>
    <xf numFmtId="0" fontId="35" fillId="0" borderId="319" xfId="0" applyFont="1" applyBorder="1" applyAlignment="1" applyProtection="1">
      <alignment horizontal="right" shrinkToFit="1"/>
      <protection hidden="1"/>
    </xf>
    <xf numFmtId="0" fontId="35" fillId="0" borderId="320" xfId="0" applyFont="1" applyBorder="1" applyAlignment="1" applyProtection="1">
      <alignment horizontal="right" shrinkToFit="1"/>
      <protection hidden="1"/>
    </xf>
    <xf numFmtId="0" fontId="33" fillId="0" borderId="47" xfId="0" applyFont="1" applyBorder="1" applyAlignment="1" applyProtection="1">
      <alignment horizontal="center"/>
      <protection hidden="1"/>
    </xf>
    <xf numFmtId="186" fontId="33" fillId="14" borderId="58" xfId="0" applyNumberFormat="1" applyFont="1" applyFill="1" applyBorder="1" applyAlignment="1" applyProtection="1">
      <alignment horizontal="left" shrinkToFit="1"/>
      <protection locked="0"/>
    </xf>
    <xf numFmtId="186" fontId="33" fillId="14" borderId="265" xfId="0" applyNumberFormat="1" applyFont="1" applyFill="1" applyBorder="1" applyAlignment="1" applyProtection="1">
      <alignment horizontal="left" shrinkToFit="1"/>
      <protection locked="0"/>
    </xf>
    <xf numFmtId="0" fontId="34" fillId="21" borderId="242" xfId="0" applyFont="1" applyFill="1" applyBorder="1" applyAlignment="1" applyProtection="1">
      <alignment horizontal="center" shrinkToFit="1"/>
      <protection hidden="1"/>
    </xf>
    <xf numFmtId="0" fontId="34" fillId="21" borderId="15" xfId="0" applyFont="1" applyFill="1" applyBorder="1" applyAlignment="1" applyProtection="1">
      <alignment horizontal="center" shrinkToFit="1"/>
      <protection hidden="1"/>
    </xf>
    <xf numFmtId="0" fontId="34" fillId="21" borderId="41" xfId="0" applyFont="1" applyFill="1" applyBorder="1" applyAlignment="1" applyProtection="1">
      <alignment horizontal="center" shrinkToFit="1"/>
      <protection hidden="1"/>
    </xf>
    <xf numFmtId="186" fontId="33" fillId="14" borderId="271" xfId="0" applyNumberFormat="1" applyFont="1" applyFill="1" applyBorder="1" applyAlignment="1" applyProtection="1">
      <alignment horizontal="left" shrinkToFit="1"/>
      <protection locked="0"/>
    </xf>
    <xf numFmtId="186" fontId="33" fillId="14" borderId="272" xfId="0" applyNumberFormat="1" applyFont="1" applyFill="1" applyBorder="1" applyAlignment="1" applyProtection="1">
      <alignment horizontal="left" shrinkToFit="1"/>
      <protection locked="0"/>
    </xf>
    <xf numFmtId="0" fontId="34" fillId="21" borderId="269" xfId="0" applyFont="1" applyFill="1" applyBorder="1" applyAlignment="1" applyProtection="1">
      <alignment horizontal="center" shrinkToFit="1"/>
      <protection locked="0"/>
    </xf>
    <xf numFmtId="0" fontId="34" fillId="21" borderId="264" xfId="0" applyFont="1" applyFill="1" applyBorder="1" applyAlignment="1" applyProtection="1">
      <alignment horizontal="center" shrinkToFit="1"/>
      <protection locked="0"/>
    </xf>
    <xf numFmtId="0" fontId="34" fillId="0" borderId="98" xfId="0" applyFont="1" applyBorder="1" applyAlignment="1" applyProtection="1">
      <alignment horizontal="right" shrinkToFit="1"/>
      <protection hidden="1"/>
    </xf>
    <xf numFmtId="0" fontId="34" fillId="0" borderId="58" xfId="0" applyFont="1" applyBorder="1" applyAlignment="1" applyProtection="1">
      <alignment horizontal="right" shrinkToFit="1"/>
      <protection hidden="1"/>
    </xf>
    <xf numFmtId="0" fontId="33" fillId="19" borderId="238" xfId="0" applyFont="1" applyFill="1" applyBorder="1" applyAlignment="1" applyProtection="1">
      <alignment horizontal="center" vertical="center" wrapText="1"/>
      <protection hidden="1"/>
    </xf>
    <xf numFmtId="0" fontId="33" fillId="19" borderId="239" xfId="0" applyFont="1" applyFill="1" applyBorder="1" applyAlignment="1" applyProtection="1">
      <alignment horizontal="center" vertical="center" wrapText="1"/>
      <protection hidden="1"/>
    </xf>
    <xf numFmtId="0" fontId="33" fillId="19" borderId="240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Alignment="1">
      <alignment horizontal="center" vertical="center"/>
    </xf>
    <xf numFmtId="0" fontId="33" fillId="0" borderId="61" xfId="0" applyFont="1" applyBorder="1" applyAlignment="1">
      <alignment horizontal="center" vertical="center"/>
    </xf>
    <xf numFmtId="0" fontId="35" fillId="0" borderId="316" xfId="0" applyFont="1" applyBorder="1" applyAlignment="1" applyProtection="1">
      <alignment horizontal="right" shrinkToFit="1"/>
      <protection hidden="1"/>
    </xf>
    <xf numFmtId="0" fontId="35" fillId="0" borderId="62" xfId="0" applyFont="1" applyBorder="1" applyAlignment="1" applyProtection="1">
      <alignment horizontal="right" shrinkToFit="1"/>
      <protection hidden="1"/>
    </xf>
    <xf numFmtId="0" fontId="35" fillId="0" borderId="274" xfId="0" applyFont="1" applyBorder="1" applyAlignment="1" applyProtection="1">
      <alignment horizontal="right" shrinkToFit="1"/>
      <protection hidden="1"/>
    </xf>
    <xf numFmtId="0" fontId="35" fillId="0" borderId="18" xfId="0" applyFont="1" applyBorder="1" applyAlignment="1" applyProtection="1">
      <alignment horizontal="right" shrinkToFit="1"/>
      <protection hidden="1"/>
    </xf>
    <xf numFmtId="165" fontId="34" fillId="18" borderId="263" xfId="0" applyNumberFormat="1" applyFont="1" applyFill="1" applyBorder="1" applyAlignment="1" applyProtection="1">
      <alignment horizontal="left" shrinkToFit="1"/>
      <protection locked="0"/>
    </xf>
    <xf numFmtId="165" fontId="34" fillId="18" borderId="12" xfId="0" applyNumberFormat="1" applyFont="1" applyFill="1" applyBorder="1" applyAlignment="1" applyProtection="1">
      <alignment horizontal="left" shrinkToFit="1"/>
      <protection locked="0"/>
    </xf>
    <xf numFmtId="165" fontId="34" fillId="18" borderId="282" xfId="0" applyNumberFormat="1" applyFont="1" applyFill="1" applyBorder="1" applyAlignment="1" applyProtection="1">
      <alignment horizontal="left" shrinkToFit="1"/>
      <protection locked="0"/>
    </xf>
    <xf numFmtId="165" fontId="34" fillId="18" borderId="283" xfId="0" applyNumberFormat="1" applyFont="1" applyFill="1" applyBorder="1" applyAlignment="1" applyProtection="1">
      <alignment horizontal="left" shrinkToFit="1"/>
      <protection locked="0"/>
    </xf>
    <xf numFmtId="165" fontId="34" fillId="0" borderId="321" xfId="0" applyNumberFormat="1" applyFont="1" applyBorder="1" applyAlignment="1" applyProtection="1">
      <alignment horizontal="left" shrinkToFit="1"/>
      <protection hidden="1"/>
    </xf>
    <xf numFmtId="165" fontId="34" fillId="0" borderId="322" xfId="0" applyNumberFormat="1" applyFont="1" applyBorder="1" applyAlignment="1" applyProtection="1">
      <alignment horizontal="left" shrinkToFit="1"/>
      <protection hidden="1"/>
    </xf>
    <xf numFmtId="186" fontId="33" fillId="14" borderId="59" xfId="0" applyNumberFormat="1" applyFont="1" applyFill="1" applyBorder="1" applyAlignment="1" applyProtection="1">
      <alignment horizontal="left" shrinkToFit="1"/>
      <protection locked="0"/>
    </xf>
    <xf numFmtId="0" fontId="34" fillId="21" borderId="277" xfId="0" applyFont="1" applyFill="1" applyBorder="1" applyAlignment="1" applyProtection="1">
      <alignment horizontal="center"/>
      <protection hidden="1"/>
    </xf>
    <xf numFmtId="0" fontId="34" fillId="21" borderId="278" xfId="0" applyFont="1" applyFill="1" applyBorder="1" applyAlignment="1" applyProtection="1">
      <alignment horizontal="center"/>
      <protection hidden="1"/>
    </xf>
    <xf numFmtId="0" fontId="34" fillId="21" borderId="279" xfId="0" applyFont="1" applyFill="1" applyBorder="1" applyAlignment="1" applyProtection="1">
      <alignment horizontal="center"/>
      <protection hidden="1"/>
    </xf>
    <xf numFmtId="0" fontId="34" fillId="0" borderId="255" xfId="0" applyFont="1" applyBorder="1" applyAlignment="1" applyProtection="1">
      <alignment horizontal="left" shrinkToFit="1"/>
      <protection hidden="1"/>
    </xf>
    <xf numFmtId="0" fontId="34" fillId="0" borderId="275" xfId="0" applyFont="1" applyBorder="1" applyAlignment="1" applyProtection="1">
      <alignment horizontal="left" shrinkToFit="1"/>
      <protection hidden="1"/>
    </xf>
    <xf numFmtId="168" fontId="34" fillId="0" borderId="317" xfId="0" applyNumberFormat="1" applyFont="1" applyBorder="1" applyAlignment="1" applyProtection="1">
      <alignment horizontal="left" shrinkToFit="1"/>
      <protection hidden="1"/>
    </xf>
    <xf numFmtId="168" fontId="34" fillId="0" borderId="318" xfId="0" applyNumberFormat="1" applyFont="1" applyBorder="1" applyAlignment="1" applyProtection="1">
      <alignment horizontal="left" shrinkToFit="1"/>
      <protection hidden="1"/>
    </xf>
    <xf numFmtId="0" fontId="35" fillId="0" borderId="280" xfId="0" applyFont="1" applyBorder="1" applyAlignment="1" applyProtection="1">
      <alignment horizontal="right" shrinkToFit="1"/>
      <protection hidden="1"/>
    </xf>
    <xf numFmtId="0" fontId="35" fillId="0" borderId="281" xfId="0" applyFont="1" applyBorder="1" applyAlignment="1" applyProtection="1">
      <alignment horizontal="right" shrinkToFit="1"/>
      <protection hidden="1"/>
    </xf>
    <xf numFmtId="0" fontId="40" fillId="0" borderId="268" xfId="0" applyFont="1" applyBorder="1" applyAlignment="1" applyProtection="1">
      <alignment horizontal="right" shrinkToFit="1"/>
      <protection hidden="1"/>
    </xf>
    <xf numFmtId="0" fontId="40" fillId="0" borderId="72" xfId="0" applyFont="1" applyBorder="1" applyAlignment="1" applyProtection="1">
      <alignment horizontal="right" shrinkToFit="1"/>
      <protection hidden="1"/>
    </xf>
    <xf numFmtId="0" fontId="37" fillId="0" borderId="11" xfId="0" applyFont="1" applyBorder="1" applyAlignment="1" applyProtection="1">
      <alignment horizontal="right" shrinkToFit="1"/>
      <protection hidden="1"/>
    </xf>
    <xf numFmtId="0" fontId="37" fillId="0" borderId="218" xfId="0" applyFont="1" applyBorder="1" applyAlignment="1" applyProtection="1">
      <alignment horizontal="right" shrinkToFit="1"/>
      <protection hidden="1"/>
    </xf>
    <xf numFmtId="0" fontId="40" fillId="0" borderId="144" xfId="0" applyFont="1" applyBorder="1" applyAlignment="1" applyProtection="1">
      <alignment horizontal="right" shrinkToFit="1"/>
      <protection hidden="1"/>
    </xf>
    <xf numFmtId="0" fontId="40" fillId="0" borderId="218" xfId="0" applyFont="1" applyBorder="1" applyAlignment="1" applyProtection="1">
      <alignment horizontal="right" shrinkToFit="1"/>
      <protection hidden="1"/>
    </xf>
    <xf numFmtId="0" fontId="40" fillId="0" borderId="145" xfId="0" applyFont="1" applyBorder="1" applyAlignment="1" applyProtection="1">
      <alignment horizontal="right" shrinkToFit="1"/>
      <protection hidden="1"/>
    </xf>
    <xf numFmtId="0" fontId="11" fillId="0" borderId="312" xfId="0" applyFont="1" applyBorder="1" applyAlignment="1" applyProtection="1">
      <alignment horizontal="right"/>
      <protection hidden="1"/>
    </xf>
    <xf numFmtId="0" fontId="11" fillId="0" borderId="327" xfId="0" applyFont="1" applyBorder="1" applyAlignment="1" applyProtection="1">
      <alignment horizontal="right"/>
      <protection hidden="1"/>
    </xf>
    <xf numFmtId="0" fontId="4" fillId="0" borderId="11" xfId="0" applyFont="1" applyBorder="1" applyAlignment="1" applyProtection="1">
      <alignment horizontal="right" shrinkToFit="1"/>
      <protection hidden="1"/>
    </xf>
    <xf numFmtId="0" fontId="4" fillId="0" borderId="218" xfId="0" applyFont="1" applyBorder="1" applyAlignment="1" applyProtection="1">
      <alignment horizontal="right" shrinkToFit="1"/>
      <protection hidden="1"/>
    </xf>
    <xf numFmtId="0" fontId="6" fillId="19" borderId="238" xfId="0" applyFont="1" applyFill="1" applyBorder="1" applyAlignment="1" applyProtection="1">
      <alignment horizontal="center" vertical="center" wrapText="1"/>
      <protection hidden="1"/>
    </xf>
    <xf numFmtId="0" fontId="6" fillId="19" borderId="239" xfId="0" applyFont="1" applyFill="1" applyBorder="1" applyAlignment="1" applyProtection="1">
      <alignment horizontal="center" vertical="center" wrapText="1"/>
      <protection hidden="1"/>
    </xf>
    <xf numFmtId="0" fontId="6" fillId="19" borderId="240" xfId="0" applyFont="1" applyFill="1" applyBorder="1" applyAlignment="1" applyProtection="1">
      <alignment horizontal="center" vertical="center" wrapText="1"/>
      <protection hidden="1"/>
    </xf>
    <xf numFmtId="0" fontId="11" fillId="0" borderId="274" xfId="0" applyFont="1" applyBorder="1" applyAlignment="1" applyProtection="1">
      <alignment horizontal="right" shrinkToFit="1"/>
      <protection hidden="1"/>
    </xf>
    <xf numFmtId="0" fontId="11" fillId="0" borderId="18" xfId="0" applyFont="1" applyBorder="1" applyAlignment="1" applyProtection="1">
      <alignment horizontal="right" shrinkToFit="1"/>
      <protection hidden="1"/>
    </xf>
    <xf numFmtId="0" fontId="3" fillId="21" borderId="264" xfId="0" applyFont="1" applyFill="1" applyBorder="1" applyAlignment="1" applyProtection="1">
      <alignment horizontal="center" shrinkToFit="1"/>
      <protection hidden="1"/>
    </xf>
    <xf numFmtId="0" fontId="3" fillId="21" borderId="270" xfId="0" applyFont="1" applyFill="1" applyBorder="1" applyAlignment="1" applyProtection="1">
      <alignment horizontal="center" shrinkToFit="1"/>
      <protection hidden="1"/>
    </xf>
    <xf numFmtId="0" fontId="11" fillId="0" borderId="319" xfId="0" applyFont="1" applyBorder="1" applyAlignment="1" applyProtection="1">
      <alignment horizontal="right" shrinkToFit="1"/>
      <protection hidden="1"/>
    </xf>
    <xf numFmtId="0" fontId="11" fillId="0" borderId="320" xfId="0" applyFont="1" applyBorder="1" applyAlignment="1" applyProtection="1">
      <alignment horizontal="right" shrinkToFit="1"/>
      <protection hidden="1"/>
    </xf>
    <xf numFmtId="0" fontId="11" fillId="0" borderId="316" xfId="0" applyFont="1" applyBorder="1" applyAlignment="1" applyProtection="1">
      <alignment horizontal="right" shrinkToFit="1"/>
      <protection hidden="1"/>
    </xf>
    <xf numFmtId="0" fontId="11" fillId="0" borderId="62" xfId="0" applyFont="1" applyBorder="1" applyAlignment="1" applyProtection="1">
      <alignment horizontal="right" shrinkToFit="1"/>
      <protection hidden="1"/>
    </xf>
    <xf numFmtId="0" fontId="3" fillId="21" borderId="242" xfId="0" applyFont="1" applyFill="1" applyBorder="1" applyAlignment="1" applyProtection="1">
      <alignment horizontal="center" shrinkToFit="1"/>
      <protection hidden="1"/>
    </xf>
    <xf numFmtId="0" fontId="3" fillId="21" borderId="15" xfId="0" applyFont="1" applyFill="1" applyBorder="1" applyAlignment="1" applyProtection="1">
      <alignment horizontal="center" shrinkToFit="1"/>
      <protection hidden="1"/>
    </xf>
    <xf numFmtId="0" fontId="3" fillId="21" borderId="41" xfId="0" applyFont="1" applyFill="1" applyBorder="1" applyAlignment="1" applyProtection="1">
      <alignment horizontal="center" shrinkToFit="1"/>
      <protection hidden="1"/>
    </xf>
    <xf numFmtId="0" fontId="3" fillId="21" borderId="269" xfId="0" applyFont="1" applyFill="1" applyBorder="1" applyAlignment="1" applyProtection="1">
      <alignment horizontal="center" shrinkToFit="1"/>
      <protection hidden="1"/>
    </xf>
    <xf numFmtId="166" fontId="3" fillId="2" borderId="263" xfId="0" applyNumberFormat="1" applyFont="1" applyFill="1" applyBorder="1" applyAlignment="1" applyProtection="1">
      <alignment horizontal="left" shrinkToFit="1"/>
      <protection locked="0"/>
    </xf>
    <xf numFmtId="166" fontId="3" fillId="2" borderId="12" xfId="0" applyNumberFormat="1" applyFont="1" applyFill="1" applyBorder="1" applyAlignment="1" applyProtection="1">
      <alignment horizontal="left" shrinkToFit="1"/>
      <protection locked="0"/>
    </xf>
    <xf numFmtId="0" fontId="3" fillId="0" borderId="255" xfId="0" applyFont="1" applyBorder="1" applyAlignment="1" applyProtection="1">
      <alignment horizontal="left" shrinkToFit="1"/>
      <protection hidden="1"/>
    </xf>
    <xf numFmtId="0" fontId="3" fillId="0" borderId="275" xfId="0" applyFont="1" applyBorder="1" applyAlignment="1" applyProtection="1">
      <alignment horizontal="left" shrinkToFit="1"/>
      <protection hidden="1"/>
    </xf>
    <xf numFmtId="0" fontId="3" fillId="0" borderId="265" xfId="0" applyFont="1" applyBorder="1" applyAlignment="1" applyProtection="1">
      <alignment horizontal="right" shrinkToFit="1"/>
      <protection hidden="1"/>
    </xf>
    <xf numFmtId="0" fontId="3" fillId="0" borderId="58" xfId="0" applyFont="1" applyBorder="1" applyAlignment="1" applyProtection="1">
      <alignment horizontal="right" shrinkToFit="1"/>
      <protection hidden="1"/>
    </xf>
    <xf numFmtId="186" fontId="6" fillId="14" borderId="58" xfId="0" applyNumberFormat="1" applyFont="1" applyFill="1" applyBorder="1" applyAlignment="1" applyProtection="1">
      <alignment horizontal="left" shrinkToFit="1"/>
      <protection locked="0" hidden="1"/>
    </xf>
    <xf numFmtId="186" fontId="6" fillId="14" borderId="265" xfId="0" applyNumberFormat="1" applyFont="1" applyFill="1" applyBorder="1" applyAlignment="1" applyProtection="1">
      <alignment horizontal="left" shrinkToFit="1"/>
      <protection locked="0" hidden="1"/>
    </xf>
    <xf numFmtId="0" fontId="3" fillId="0" borderId="236" xfId="0" applyFont="1" applyBorder="1" applyAlignment="1" applyProtection="1">
      <alignment horizontal="right" shrinkToFit="1"/>
      <protection hidden="1"/>
    </xf>
    <xf numFmtId="0" fontId="3" fillId="0" borderId="271" xfId="0" applyFont="1" applyBorder="1" applyAlignment="1" applyProtection="1">
      <alignment horizontal="right" shrinkToFit="1"/>
      <protection hidden="1"/>
    </xf>
    <xf numFmtId="0" fontId="3" fillId="0" borderId="57" xfId="0" applyFont="1" applyBorder="1" applyAlignment="1" applyProtection="1">
      <alignment horizontal="right" shrinkToFit="1"/>
      <protection hidden="1"/>
    </xf>
    <xf numFmtId="186" fontId="6" fillId="14" borderId="266" xfId="0" applyNumberFormat="1" applyFont="1" applyFill="1" applyBorder="1" applyAlignment="1" applyProtection="1">
      <alignment horizontal="left" shrinkToFit="1"/>
      <protection locked="0" hidden="1"/>
    </xf>
    <xf numFmtId="0" fontId="3" fillId="21" borderId="277" xfId="0" applyFont="1" applyFill="1" applyBorder="1" applyAlignment="1" applyProtection="1">
      <alignment horizontal="center"/>
      <protection hidden="1"/>
    </xf>
    <xf numFmtId="0" fontId="3" fillId="21" borderId="278" xfId="0" applyFont="1" applyFill="1" applyBorder="1" applyAlignment="1" applyProtection="1">
      <alignment horizontal="center"/>
      <protection hidden="1"/>
    </xf>
    <xf numFmtId="0" fontId="3" fillId="21" borderId="279" xfId="0" applyFont="1" applyFill="1" applyBorder="1" applyAlignment="1" applyProtection="1">
      <alignment horizontal="center"/>
      <protection hidden="1"/>
    </xf>
    <xf numFmtId="0" fontId="4" fillId="10" borderId="51" xfId="0" applyFont="1" applyFill="1" applyBorder="1" applyAlignment="1" applyProtection="1">
      <alignment horizontal="center" vertical="center" wrapText="1"/>
      <protection hidden="1"/>
    </xf>
    <xf numFmtId="0" fontId="4" fillId="10" borderId="52" xfId="0" applyFont="1" applyFill="1" applyBorder="1" applyAlignment="1" applyProtection="1">
      <alignment horizontal="center" vertical="center" wrapText="1"/>
      <protection hidden="1"/>
    </xf>
    <xf numFmtId="0" fontId="3" fillId="21" borderId="277" xfId="0" applyFont="1" applyFill="1" applyBorder="1" applyAlignment="1" applyProtection="1">
      <alignment horizontal="center" shrinkToFit="1"/>
      <protection hidden="1"/>
    </xf>
    <xf numFmtId="0" fontId="3" fillId="21" borderId="278" xfId="0" applyFont="1" applyFill="1" applyBorder="1" applyAlignment="1" applyProtection="1">
      <alignment horizontal="center" shrinkToFit="1"/>
      <protection hidden="1"/>
    </xf>
    <xf numFmtId="0" fontId="3" fillId="21" borderId="279" xfId="0" applyFont="1" applyFill="1" applyBorder="1" applyAlignment="1" applyProtection="1">
      <alignment horizontal="center" shrinkToFit="1"/>
      <protection hidden="1"/>
    </xf>
    <xf numFmtId="0" fontId="16" fillId="18" borderId="139" xfId="0" applyFont="1" applyFill="1" applyBorder="1" applyAlignment="1" applyProtection="1">
      <alignment horizontal="left" shrinkToFit="1"/>
      <protection locked="0"/>
    </xf>
    <xf numFmtId="0" fontId="16" fillId="18" borderId="140" xfId="0" applyFont="1" applyFill="1" applyBorder="1" applyAlignment="1" applyProtection="1">
      <alignment horizontal="left" shrinkToFit="1"/>
      <protection locked="0"/>
    </xf>
    <xf numFmtId="0" fontId="16" fillId="18" borderId="145" xfId="0" applyFont="1" applyFill="1" applyBorder="1" applyAlignment="1" applyProtection="1">
      <alignment horizontal="left" shrinkToFit="1"/>
      <protection locked="0"/>
    </xf>
    <xf numFmtId="0" fontId="16" fillId="18" borderId="146" xfId="0" applyFont="1" applyFill="1" applyBorder="1" applyAlignment="1" applyProtection="1">
      <alignment horizontal="left" shrinkToFit="1"/>
      <protection locked="0"/>
    </xf>
    <xf numFmtId="0" fontId="16" fillId="18" borderId="72" xfId="0" applyFont="1" applyFill="1" applyBorder="1" applyAlignment="1" applyProtection="1">
      <alignment horizontal="left" shrinkToFit="1"/>
      <protection locked="0"/>
    </xf>
    <xf numFmtId="0" fontId="16" fillId="18" borderId="79" xfId="0" applyFont="1" applyFill="1" applyBorder="1" applyAlignment="1" applyProtection="1">
      <alignment horizontal="left" shrinkToFit="1"/>
      <protection locked="0"/>
    </xf>
    <xf numFmtId="165" fontId="3" fillId="18" borderId="263" xfId="0" applyNumberFormat="1" applyFont="1" applyFill="1" applyBorder="1" applyAlignment="1" applyProtection="1">
      <alignment horizontal="left" shrinkToFit="1"/>
      <protection locked="0"/>
    </xf>
    <xf numFmtId="165" fontId="3" fillId="18" borderId="12" xfId="0" applyNumberFormat="1" applyFont="1" applyFill="1" applyBorder="1" applyAlignment="1" applyProtection="1">
      <alignment horizontal="left" shrinkToFit="1"/>
      <protection locked="0"/>
    </xf>
    <xf numFmtId="165" fontId="3" fillId="18" borderId="305" xfId="0" applyNumberFormat="1" applyFont="1" applyFill="1" applyBorder="1" applyAlignment="1" applyProtection="1">
      <alignment horizontal="left" shrinkToFit="1"/>
      <protection locked="0"/>
    </xf>
    <xf numFmtId="165" fontId="3" fillId="18" borderId="306" xfId="0" applyNumberFormat="1" applyFont="1" applyFill="1" applyBorder="1" applyAlignment="1" applyProtection="1">
      <alignment horizontal="left" shrinkToFit="1"/>
      <protection locked="0"/>
    </xf>
    <xf numFmtId="165" fontId="3" fillId="0" borderId="321" xfId="0" applyNumberFormat="1" applyFont="1" applyBorder="1" applyAlignment="1" applyProtection="1">
      <alignment horizontal="left" shrinkToFit="1"/>
      <protection hidden="1"/>
    </xf>
    <xf numFmtId="165" fontId="3" fillId="0" borderId="322" xfId="0" applyNumberFormat="1" applyFont="1" applyBorder="1" applyAlignment="1" applyProtection="1">
      <alignment horizontal="left" shrinkToFit="1"/>
      <protection hidden="1"/>
    </xf>
    <xf numFmtId="0" fontId="16" fillId="0" borderId="138" xfId="0" applyFont="1" applyBorder="1" applyAlignment="1" applyProtection="1">
      <alignment horizontal="right" shrinkToFit="1"/>
      <protection hidden="1"/>
    </xf>
    <xf numFmtId="0" fontId="16" fillId="0" borderId="264" xfId="0" applyFont="1" applyBorder="1" applyAlignment="1" applyProtection="1">
      <alignment horizontal="right" shrinkToFit="1"/>
      <protection hidden="1"/>
    </xf>
    <xf numFmtId="0" fontId="16" fillId="0" borderId="139" xfId="0" applyFont="1" applyBorder="1" applyAlignment="1" applyProtection="1">
      <alignment horizontal="right" shrinkToFit="1"/>
      <protection hidden="1"/>
    </xf>
    <xf numFmtId="0" fontId="16" fillId="0" borderId="144" xfId="0" applyFont="1" applyBorder="1" applyAlignment="1" applyProtection="1">
      <alignment horizontal="right" shrinkToFit="1"/>
      <protection hidden="1"/>
    </xf>
    <xf numFmtId="0" fontId="16" fillId="0" borderId="218" xfId="0" applyFont="1" applyBorder="1" applyAlignment="1" applyProtection="1">
      <alignment horizontal="right" shrinkToFit="1"/>
      <protection hidden="1"/>
    </xf>
    <xf numFmtId="0" fontId="16" fillId="0" borderId="145" xfId="0" applyFont="1" applyBorder="1" applyAlignment="1" applyProtection="1">
      <alignment horizontal="right" shrinkToFit="1"/>
      <protection hidden="1"/>
    </xf>
    <xf numFmtId="0" fontId="16" fillId="0" borderId="268" xfId="0" applyFont="1" applyBorder="1" applyAlignment="1" applyProtection="1">
      <alignment horizontal="right" shrinkToFit="1"/>
      <protection hidden="1"/>
    </xf>
    <xf numFmtId="0" fontId="16" fillId="0" borderId="72" xfId="0" applyFont="1" applyBorder="1" applyAlignment="1" applyProtection="1">
      <alignment horizontal="right" shrinkToFit="1"/>
      <protection hidden="1"/>
    </xf>
    <xf numFmtId="0" fontId="6" fillId="0" borderId="274" xfId="0" applyFont="1" applyBorder="1" applyAlignment="1" applyProtection="1">
      <alignment horizontal="right" shrinkToFit="1"/>
      <protection hidden="1"/>
    </xf>
    <xf numFmtId="0" fontId="6" fillId="0" borderId="18" xfId="0" applyFont="1" applyBorder="1" applyAlignment="1" applyProtection="1">
      <alignment horizontal="right" shrinkToFit="1"/>
      <protection hidden="1"/>
    </xf>
    <xf numFmtId="0" fontId="2" fillId="0" borderId="255" xfId="0" applyFont="1" applyBorder="1" applyAlignment="1" applyProtection="1">
      <alignment horizontal="left" shrinkToFit="1"/>
      <protection hidden="1"/>
    </xf>
    <xf numFmtId="0" fontId="2" fillId="0" borderId="275" xfId="0" applyFont="1" applyBorder="1" applyAlignment="1" applyProtection="1">
      <alignment horizontal="left" shrinkToFit="1"/>
      <protection hidden="1"/>
    </xf>
    <xf numFmtId="0" fontId="6" fillId="0" borderId="254" xfId="0" applyFont="1" applyBorder="1" applyAlignment="1" applyProtection="1">
      <alignment horizontal="right" shrinkToFit="1"/>
      <protection hidden="1"/>
    </xf>
    <xf numFmtId="0" fontId="6" fillId="0" borderId="257" xfId="0" applyFont="1" applyBorder="1" applyAlignment="1" applyProtection="1">
      <alignment horizontal="right" shrinkToFit="1"/>
      <protection hidden="1"/>
    </xf>
    <xf numFmtId="0" fontId="2" fillId="0" borderId="263" xfId="0" applyFont="1" applyBorder="1" applyAlignment="1" applyProtection="1">
      <alignment horizontal="left" shrinkToFit="1"/>
      <protection hidden="1"/>
    </xf>
    <xf numFmtId="0" fontId="2" fillId="0" borderId="12" xfId="0" applyFont="1" applyBorder="1" applyAlignment="1" applyProtection="1">
      <alignment horizontal="left" shrinkToFit="1"/>
      <protection hidden="1"/>
    </xf>
    <xf numFmtId="0" fontId="11" fillId="0" borderId="268" xfId="0" applyFont="1" applyBorder="1" applyAlignment="1" applyProtection="1">
      <alignment horizontal="right"/>
      <protection hidden="1"/>
    </xf>
    <xf numFmtId="0" fontId="11" fillId="0" borderId="72" xfId="0" applyFont="1" applyBorder="1" applyAlignment="1" applyProtection="1">
      <alignment horizontal="right"/>
      <protection hidden="1"/>
    </xf>
    <xf numFmtId="0" fontId="4" fillId="0" borderId="269" xfId="0" applyFont="1" applyBorder="1" applyAlignment="1" applyProtection="1">
      <alignment horizontal="right"/>
      <protection hidden="1"/>
    </xf>
    <xf numFmtId="0" fontId="4" fillId="0" borderId="264" xfId="0" applyFont="1" applyBorder="1" applyAlignment="1" applyProtection="1">
      <alignment horizontal="right"/>
      <protection hidden="1"/>
    </xf>
    <xf numFmtId="0" fontId="3" fillId="20" borderId="7" xfId="0" applyFont="1" applyFill="1" applyBorder="1" applyAlignment="1" applyProtection="1">
      <alignment horizontal="center" vertical="center" textRotation="90" shrinkToFit="1"/>
      <protection hidden="1"/>
    </xf>
    <xf numFmtId="0" fontId="3" fillId="20" borderId="8" xfId="0" applyFont="1" applyFill="1" applyBorder="1" applyAlignment="1" applyProtection="1">
      <alignment horizontal="center" vertical="center" textRotation="90" shrinkToFit="1"/>
      <protection hidden="1"/>
    </xf>
    <xf numFmtId="0" fontId="3" fillId="20" borderId="28" xfId="0" applyFont="1" applyFill="1" applyBorder="1" applyAlignment="1" applyProtection="1">
      <alignment horizontal="center" vertical="center" textRotation="90" shrinkToFit="1"/>
      <protection hidden="1"/>
    </xf>
    <xf numFmtId="0" fontId="6" fillId="0" borderId="0" xfId="0" applyFont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186" fontId="6" fillId="14" borderId="271" xfId="0" applyNumberFormat="1" applyFont="1" applyFill="1" applyBorder="1" applyAlignment="1" applyProtection="1">
      <alignment horizontal="left" shrinkToFit="1"/>
      <protection locked="0" hidden="1"/>
    </xf>
    <xf numFmtId="186" fontId="6" fillId="14" borderId="272" xfId="0" applyNumberFormat="1" applyFont="1" applyFill="1" applyBorder="1" applyAlignment="1" applyProtection="1">
      <alignment horizontal="left" shrinkToFit="1"/>
      <protection locked="0" hidden="1"/>
    </xf>
    <xf numFmtId="187" fontId="3" fillId="0" borderId="263" xfId="0" applyNumberFormat="1" applyFont="1" applyBorder="1" applyAlignment="1" applyProtection="1">
      <alignment horizontal="left" shrinkToFit="1"/>
      <protection hidden="1"/>
    </xf>
    <xf numFmtId="187" fontId="3" fillId="0" borderId="12" xfId="0" applyNumberFormat="1" applyFont="1" applyBorder="1" applyAlignment="1" applyProtection="1">
      <alignment horizontal="left" shrinkToFit="1"/>
      <protection hidden="1"/>
    </xf>
    <xf numFmtId="0" fontId="3" fillId="0" borderId="274" xfId="0" applyFont="1" applyBorder="1" applyAlignment="1" applyProtection="1">
      <alignment horizontal="right" shrinkToFit="1"/>
      <protection hidden="1"/>
    </xf>
    <xf numFmtId="0" fontId="3" fillId="0" borderId="15" xfId="0" applyFont="1" applyBorder="1" applyAlignment="1" applyProtection="1">
      <alignment horizontal="right" shrinkToFit="1"/>
      <protection hidden="1"/>
    </xf>
    <xf numFmtId="0" fontId="3" fillId="0" borderId="18" xfId="0" applyFont="1" applyBorder="1" applyAlignment="1" applyProtection="1">
      <alignment horizontal="right" shrinkToFit="1"/>
      <protection hidden="1"/>
    </xf>
    <xf numFmtId="0" fontId="11" fillId="0" borderId="2" xfId="0" applyFont="1" applyBorder="1" applyAlignment="1" applyProtection="1">
      <alignment horizontal="right" shrinkToFit="1"/>
      <protection hidden="1"/>
    </xf>
    <xf numFmtId="0" fontId="11" fillId="0" borderId="17" xfId="0" applyFont="1" applyBorder="1" applyAlignment="1" applyProtection="1">
      <alignment horizontal="right" shrinkToFit="1"/>
      <protection hidden="1"/>
    </xf>
    <xf numFmtId="0" fontId="11" fillId="0" borderId="19" xfId="0" applyFont="1" applyBorder="1" applyAlignment="1" applyProtection="1">
      <alignment horizontal="right" shrinkToFit="1"/>
      <protection hidden="1"/>
    </xf>
    <xf numFmtId="0" fontId="3" fillId="0" borderId="263" xfId="0" applyFont="1" applyBorder="1" applyAlignment="1" applyProtection="1">
      <alignment shrinkToFit="1"/>
      <protection hidden="1"/>
    </xf>
    <xf numFmtId="0" fontId="3" fillId="0" borderId="15" xfId="0" applyFont="1" applyBorder="1" applyAlignment="1" applyProtection="1">
      <alignment shrinkToFit="1"/>
      <protection hidden="1"/>
    </xf>
    <xf numFmtId="0" fontId="3" fillId="0" borderId="12" xfId="0" applyFont="1" applyBorder="1" applyAlignment="1" applyProtection="1">
      <alignment shrinkToFit="1"/>
      <protection hidden="1"/>
    </xf>
    <xf numFmtId="0" fontId="2" fillId="0" borderId="237" xfId="0" applyFont="1" applyBorder="1" applyAlignment="1" applyProtection="1">
      <alignment shrinkToFit="1"/>
      <protection hidden="1"/>
    </xf>
    <xf numFmtId="0" fontId="2" fillId="0" borderId="17" xfId="0" applyFont="1" applyBorder="1" applyAlignment="1" applyProtection="1">
      <alignment shrinkToFit="1"/>
      <protection hidden="1"/>
    </xf>
    <xf numFmtId="0" fontId="2" fillId="0" borderId="13" xfId="0" applyFont="1" applyBorder="1" applyAlignment="1" applyProtection="1">
      <alignment shrinkToFit="1"/>
      <protection hidden="1"/>
    </xf>
    <xf numFmtId="0" fontId="11" fillId="0" borderId="280" xfId="0" applyFont="1" applyBorder="1" applyAlignment="1" applyProtection="1">
      <alignment horizontal="right" shrinkToFit="1"/>
      <protection hidden="1"/>
    </xf>
    <xf numFmtId="0" fontId="11" fillId="0" borderId="281" xfId="0" applyFont="1" applyBorder="1" applyAlignment="1" applyProtection="1">
      <alignment horizontal="right" shrinkToFit="1"/>
      <protection hidden="1"/>
    </xf>
    <xf numFmtId="168" fontId="3" fillId="0" borderId="317" xfId="0" applyNumberFormat="1" applyFont="1" applyBorder="1" applyAlignment="1" applyProtection="1">
      <alignment horizontal="left" shrinkToFit="1"/>
      <protection hidden="1"/>
    </xf>
    <xf numFmtId="168" fontId="3" fillId="0" borderId="318" xfId="0" applyNumberFormat="1" applyFont="1" applyBorder="1" applyAlignment="1" applyProtection="1">
      <alignment horizontal="left" shrinkToFit="1"/>
      <protection hidden="1"/>
    </xf>
    <xf numFmtId="0" fontId="2" fillId="0" borderId="257" xfId="0" applyFont="1" applyBorder="1" applyAlignment="1" applyProtection="1">
      <alignment horizontal="left" shrinkToFit="1"/>
      <protection hidden="1"/>
    </xf>
    <xf numFmtId="0" fontId="2" fillId="0" borderId="212" xfId="0" applyFont="1" applyBorder="1" applyAlignment="1" applyProtection="1">
      <alignment horizontal="left" shrinkToFit="1"/>
      <protection hidden="1"/>
    </xf>
    <xf numFmtId="0" fontId="16" fillId="0" borderId="139" xfId="0" applyFont="1" applyBorder="1" applyAlignment="1" applyProtection="1">
      <alignment horizontal="left" shrinkToFit="1"/>
      <protection hidden="1"/>
    </xf>
    <xf numFmtId="0" fontId="16" fillId="0" borderId="140" xfId="0" applyFont="1" applyBorder="1" applyAlignment="1" applyProtection="1">
      <alignment horizontal="left" shrinkToFit="1"/>
      <protection hidden="1"/>
    </xf>
    <xf numFmtId="0" fontId="16" fillId="0" borderId="145" xfId="0" applyFont="1" applyBorder="1" applyAlignment="1" applyProtection="1">
      <alignment horizontal="left" shrinkToFit="1"/>
      <protection hidden="1"/>
    </xf>
    <xf numFmtId="0" fontId="16" fillId="0" borderId="146" xfId="0" applyFont="1" applyBorder="1" applyAlignment="1" applyProtection="1">
      <alignment horizontal="left" shrinkToFit="1"/>
      <protection hidden="1"/>
    </xf>
    <xf numFmtId="0" fontId="16" fillId="0" borderId="72" xfId="0" applyFont="1" applyBorder="1" applyAlignment="1" applyProtection="1">
      <alignment horizontal="left" shrinkToFit="1"/>
      <protection hidden="1"/>
    </xf>
    <xf numFmtId="0" fontId="16" fillId="0" borderId="79" xfId="0" applyFont="1" applyBorder="1" applyAlignment="1" applyProtection="1">
      <alignment horizontal="left" shrinkToFit="1"/>
      <protection hidden="1"/>
    </xf>
    <xf numFmtId="186" fontId="6" fillId="0" borderId="58" xfId="0" applyNumberFormat="1" applyFont="1" applyBorder="1" applyAlignment="1" applyProtection="1">
      <alignment horizontal="left" shrinkToFit="1"/>
      <protection hidden="1"/>
    </xf>
    <xf numFmtId="186" fontId="6" fillId="0" borderId="59" xfId="0" applyNumberFormat="1" applyFont="1" applyBorder="1" applyAlignment="1" applyProtection="1">
      <alignment horizontal="left" shrinkToFit="1"/>
      <protection hidden="1"/>
    </xf>
    <xf numFmtId="186" fontId="6" fillId="0" borderId="265" xfId="0" applyNumberFormat="1" applyFont="1" applyBorder="1" applyAlignment="1" applyProtection="1">
      <alignment horizontal="left" shrinkToFit="1"/>
      <protection hidden="1"/>
    </xf>
    <xf numFmtId="165" fontId="3" fillId="0" borderId="263" xfId="0" applyNumberFormat="1" applyFont="1" applyBorder="1" applyAlignment="1" applyProtection="1">
      <alignment horizontal="left" shrinkToFit="1"/>
      <protection hidden="1"/>
    </xf>
    <xf numFmtId="165" fontId="3" fillId="0" borderId="12" xfId="0" applyNumberFormat="1" applyFont="1" applyBorder="1" applyAlignment="1" applyProtection="1">
      <alignment horizontal="left" shrinkToFit="1"/>
      <protection hidden="1"/>
    </xf>
    <xf numFmtId="165" fontId="3" fillId="0" borderId="282" xfId="0" applyNumberFormat="1" applyFont="1" applyBorder="1" applyAlignment="1" applyProtection="1">
      <alignment horizontal="left" shrinkToFit="1"/>
      <protection hidden="1"/>
    </xf>
    <xf numFmtId="165" fontId="3" fillId="0" borderId="283" xfId="0" applyNumberFormat="1" applyFont="1" applyBorder="1" applyAlignment="1" applyProtection="1">
      <alignment horizontal="left" shrinkToFi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61" xfId="0" applyFont="1" applyBorder="1" applyAlignment="1" applyProtection="1">
      <alignment horizontal="center" vertical="center"/>
      <protection hidden="1"/>
    </xf>
    <xf numFmtId="166" fontId="3" fillId="0" borderId="263" xfId="0" applyNumberFormat="1" applyFont="1" applyBorder="1" applyAlignment="1" applyProtection="1">
      <alignment horizontal="left" shrinkToFit="1"/>
      <protection hidden="1"/>
    </xf>
    <xf numFmtId="166" fontId="3" fillId="0" borderId="12" xfId="0" applyNumberFormat="1" applyFont="1" applyBorder="1" applyAlignment="1" applyProtection="1">
      <alignment horizontal="left" shrinkToFit="1"/>
      <protection hidden="1"/>
    </xf>
    <xf numFmtId="186" fontId="6" fillId="0" borderId="271" xfId="0" applyNumberFormat="1" applyFont="1" applyBorder="1" applyAlignment="1" applyProtection="1">
      <alignment horizontal="left" shrinkToFit="1"/>
      <protection hidden="1"/>
    </xf>
    <xf numFmtId="186" fontId="6" fillId="0" borderId="272" xfId="0" applyNumberFormat="1" applyFont="1" applyBorder="1" applyAlignment="1" applyProtection="1">
      <alignment horizontal="left" shrinkToFit="1"/>
      <protection hidden="1"/>
    </xf>
    <xf numFmtId="0" fontId="31" fillId="0" borderId="235" xfId="2" applyFont="1" applyBorder="1" applyAlignment="1">
      <alignment horizontal="center" vertical="center"/>
    </xf>
    <xf numFmtId="184" fontId="6" fillId="7" borderId="323" xfId="0" applyNumberFormat="1" applyFont="1" applyFill="1" applyBorder="1" applyAlignment="1" applyProtection="1">
      <alignment horizontal="center" shrinkToFit="1"/>
      <protection hidden="1"/>
    </xf>
    <xf numFmtId="184" fontId="6" fillId="7" borderId="324" xfId="0" applyNumberFormat="1" applyFont="1" applyFill="1" applyBorder="1" applyAlignment="1" applyProtection="1">
      <alignment horizontal="center" shrinkToFit="1"/>
      <protection hidden="1"/>
    </xf>
    <xf numFmtId="169" fontId="6" fillId="7" borderId="325" xfId="0" applyNumberFormat="1" applyFont="1" applyFill="1" applyBorder="1" applyAlignment="1" applyProtection="1">
      <alignment horizontal="center" shrinkToFit="1"/>
      <protection hidden="1"/>
    </xf>
    <xf numFmtId="169" fontId="6" fillId="7" borderId="326" xfId="0" applyNumberFormat="1" applyFont="1" applyFill="1" applyBorder="1" applyAlignment="1" applyProtection="1">
      <alignment horizontal="center" shrinkToFit="1"/>
      <protection hidden="1"/>
    </xf>
    <xf numFmtId="0" fontId="17" fillId="16" borderId="150" xfId="0" applyFont="1" applyFill="1" applyBorder="1" applyAlignment="1" applyProtection="1">
      <alignment horizontal="center" vertical="center" shrinkToFit="1"/>
      <protection hidden="1"/>
    </xf>
    <xf numFmtId="0" fontId="17" fillId="16" borderId="151" xfId="0" applyFont="1" applyFill="1" applyBorder="1" applyAlignment="1" applyProtection="1">
      <alignment horizontal="center" vertical="center" shrinkToFit="1"/>
      <protection hidden="1"/>
    </xf>
    <xf numFmtId="0" fontId="17" fillId="16" borderId="152" xfId="0" applyFont="1" applyFill="1" applyBorder="1" applyAlignment="1" applyProtection="1">
      <alignment horizontal="center" vertical="center" shrinkToFit="1"/>
      <protection hidden="1"/>
    </xf>
    <xf numFmtId="0" fontId="17" fillId="16" borderId="172" xfId="0" applyFont="1" applyFill="1" applyBorder="1" applyAlignment="1" applyProtection="1">
      <alignment horizontal="center" vertical="center" shrinkToFit="1"/>
      <protection hidden="1"/>
    </xf>
    <xf numFmtId="0" fontId="16" fillId="0" borderId="0" xfId="0" applyFont="1" applyAlignment="1" applyProtection="1">
      <alignment horizontal="right" shrinkToFit="1"/>
      <protection hidden="1"/>
    </xf>
    <xf numFmtId="0" fontId="16" fillId="0" borderId="234" xfId="0" applyFont="1" applyBorder="1" applyAlignment="1" applyProtection="1">
      <alignment horizontal="right" shrinkToFit="1"/>
      <protection hidden="1"/>
    </xf>
    <xf numFmtId="0" fontId="3" fillId="7" borderId="304" xfId="3" applyFont="1" applyFill="1" applyBorder="1" applyAlignment="1" applyProtection="1">
      <alignment horizontal="center" shrinkToFit="1"/>
      <protection hidden="1"/>
    </xf>
    <xf numFmtId="0" fontId="3" fillId="7" borderId="149" xfId="3" applyFont="1" applyFill="1" applyBorder="1" applyAlignment="1" applyProtection="1">
      <alignment horizontal="center" shrinkToFit="1"/>
      <protection hidden="1"/>
    </xf>
    <xf numFmtId="0" fontId="3" fillId="7" borderId="356" xfId="3" applyFont="1" applyFill="1" applyBorder="1" applyAlignment="1" applyProtection="1">
      <alignment horizontal="center" shrinkToFit="1"/>
      <protection hidden="1"/>
    </xf>
  </cellXfs>
  <cellStyles count="4">
    <cellStyle name="Hipervínculo" xfId="2" builtinId="8"/>
    <cellStyle name="Moneda" xfId="1" builtinId="4"/>
    <cellStyle name="Normal" xfId="0" builtinId="0"/>
    <cellStyle name="Normal 2" xfId="3" xr:uid="{1F53706D-B535-40C8-8A1E-D552BA49480E}"/>
  </cellStyles>
  <dxfs count="20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FF0000"/>
      </font>
    </dxf>
    <dxf>
      <font>
        <strike val="0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FF0000"/>
      </font>
    </dxf>
    <dxf>
      <font>
        <strike val="0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FF0000"/>
      </font>
    </dxf>
    <dxf>
      <font>
        <strike val="0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FF0000"/>
      </font>
    </dxf>
    <dxf>
      <font>
        <strike val="0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FF0000"/>
      </font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CC9900"/>
      <color rgb="FFF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4.xml"/><Relationship Id="rId17" Type="http://schemas.openxmlformats.org/officeDocument/2006/relationships/worksheet" Target="worksheets/sheet9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3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7.xml"/><Relationship Id="rId10" Type="http://schemas.openxmlformats.org/officeDocument/2006/relationships/chartsheet" Target="chartsheets/sheet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1.xml"/><Relationship Id="rId14" Type="http://schemas.openxmlformats.org/officeDocument/2006/relationships/chartsheet" Target="chartsheets/sheet6.xml"/><Relationship Id="rId22" Type="http://schemas.openxmlformats.org/officeDocument/2006/relationships/customXml" Target="../customXml/item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Consumo Semanal (Gr.)</a:t>
            </a:r>
          </a:p>
        </c:rich>
      </c:tx>
      <c:layout>
        <c:manualLayout>
          <c:xMode val="edge"/>
          <c:yMode val="edge"/>
          <c:x val="0.17293897402609701"/>
          <c:y val="9.3567251461988299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ln>
          <a:solidFill>
            <a:sysClr val="windowText" lastClr="000000"/>
          </a:solidFill>
        </a:ln>
        <a:effectLst>
          <a:outerShdw blurRad="50800" dist="50800" dir="5400000" algn="ctr" rotWithShape="0">
            <a:schemeClr val="bg1">
              <a:lumMod val="75000"/>
            </a:scheme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09408555113407"/>
          <c:y val="4.87805252413624E-2"/>
          <c:w val="0.86550183915182999"/>
          <c:h val="0.85657951600617299"/>
        </c:manualLayout>
      </c:layout>
      <c:lineChart>
        <c:grouping val="standard"/>
        <c:varyColors val="0"/>
        <c:ser>
          <c:idx val="2"/>
          <c:order val="0"/>
          <c:tx>
            <c:strRef>
              <c:f>'G1'!$AQ$6</c:f>
              <c:strCache>
                <c:ptCount val="1"/>
                <c:pt idx="0">
                  <c:v>Cons Sem Guia</c:v>
                </c:pt>
              </c:strCache>
            </c:strRef>
          </c:tx>
          <c:spPr>
            <a:ln w="63500">
              <a:solidFill>
                <a:schemeClr val="accent3">
                  <a:shade val="95000"/>
                  <a:satMod val="105000"/>
                  <a:alpha val="50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  <a:latin typeface="Arial Narrow" pitchFamily="34" charset="0"/>
                  </a:defRPr>
                </a:pPr>
                <a:endParaRPr lang="es-CO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'G1'!$AO$7:$AO$14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'G1'!$AQ$7:$AQ$14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F-489C-BA4D-C5989062BF79}"/>
            </c:ext>
          </c:extLst>
        </c:ser>
        <c:ser>
          <c:idx val="1"/>
          <c:order val="1"/>
          <c:tx>
            <c:strRef>
              <c:f>'G1'!$AP$6</c:f>
              <c:strCache>
                <c:ptCount val="1"/>
                <c:pt idx="0">
                  <c:v>Cons Sem Real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  <a:effectLst>
              <a:outerShdw blurRad="50800" dist="50800" dir="5400000" algn="ctr" rotWithShape="0">
                <a:schemeClr val="bg1">
                  <a:lumMod val="75000"/>
                </a:schemeClr>
              </a:outerShdw>
            </a:effectLst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  <a:effectLst>
                <a:outerShdw blurRad="50800" dist="50800" dir="5400000" algn="ctr" rotWithShape="0">
                  <a:schemeClr val="bg1">
                    <a:lumMod val="75000"/>
                  </a:schemeClr>
                </a:outerShdw>
              </a:effectLst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C00000"/>
                    </a:solidFill>
                    <a:latin typeface="Arial Narrow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'G1'!$AO$7:$AO$14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'G1'!$AP$7:$AP$14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F-489C-BA4D-C5989062B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3305344"/>
        <c:axId val="1603301776"/>
      </c:lineChart>
      <c:catAx>
        <c:axId val="160330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1603301776"/>
        <c:crosses val="autoZero"/>
        <c:auto val="1"/>
        <c:lblAlgn val="ctr"/>
        <c:lblOffset val="1"/>
        <c:noMultiLvlLbl val="0"/>
      </c:catAx>
      <c:valAx>
        <c:axId val="16033017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_ ;[Red]\-#,##0\ " sourceLinked="0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Arial Narrow" pitchFamily="34" charset="0"/>
              </a:defRPr>
            </a:pPr>
            <a:endParaRPr lang="es-CO"/>
          </a:p>
        </c:txPr>
        <c:crossAx val="1603305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5111706092679099"/>
          <c:y val="0.68959014055943801"/>
          <c:w val="0.21923072427505899"/>
          <c:h val="0.16032132259698301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</c:spPr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74122641936"/>
          <c:y val="0.14265769652820001"/>
          <c:w val="0.89247517100515406"/>
          <c:h val="0.752857114845068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'G1'!$BA$36</c:f>
              <c:strCache>
                <c:ptCount val="1"/>
                <c:pt idx="0">
                  <c:v>Biomasa Real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'G1'!$AZ$37:$AZ$44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'G1'!$BA$37:$BA$44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2-4ABC-AFFA-731FA86D79EB}"/>
            </c:ext>
          </c:extLst>
        </c:ser>
        <c:ser>
          <c:idx val="2"/>
          <c:order val="1"/>
          <c:tx>
            <c:strRef>
              <c:f>'G1'!$BB$36</c:f>
              <c:strCache>
                <c:ptCount val="1"/>
                <c:pt idx="0">
                  <c:v>Biomasa Guía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'G1'!$AZ$37:$AZ$44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'G1'!$BB$37:$BB$44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82-4ABC-AFFA-731FA86D7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overlap val="-16"/>
        <c:axId val="1605914576"/>
        <c:axId val="1605749840"/>
      </c:barChart>
      <c:catAx>
        <c:axId val="160591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1605749840"/>
        <c:crosses val="autoZero"/>
        <c:auto val="1"/>
        <c:lblAlgn val="ctr"/>
        <c:lblOffset val="1"/>
        <c:noMultiLvlLbl val="0"/>
      </c:catAx>
      <c:valAx>
        <c:axId val="16057498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.0_ ;[Red]\-#,##0.0\ 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 Narrow" pitchFamily="34" charset="0"/>
              </a:defRPr>
            </a:pPr>
            <a:endParaRPr lang="es-CO"/>
          </a:p>
        </c:txPr>
        <c:crossAx val="16059145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201715639203635"/>
          <c:y val="3.1128417385507066E-2"/>
          <c:w val="0.48160254358449095"/>
          <c:h val="0.10092919551423982"/>
        </c:manualLayout>
      </c:layout>
      <c:overlay val="0"/>
      <c:spPr>
        <a:solidFill>
          <a:sysClr val="window" lastClr="FFFFFF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c:spPr>
      <c:txPr>
        <a:bodyPr/>
        <a:lstStyle/>
        <a:p>
          <a:pPr>
            <a:defRPr sz="1200">
              <a:latin typeface="Arial Narrow" pitchFamily="34" charset="0"/>
            </a:defRPr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Consumo Semanal (Gr.)</a:t>
            </a:r>
          </a:p>
        </c:rich>
      </c:tx>
      <c:layout>
        <c:manualLayout>
          <c:xMode val="edge"/>
          <c:yMode val="edge"/>
          <c:x val="0.17293897402609701"/>
          <c:y val="9.3567251461988299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ln>
          <a:solidFill>
            <a:sysClr val="windowText" lastClr="000000"/>
          </a:solidFill>
        </a:ln>
        <a:effectLst>
          <a:outerShdw blurRad="50800" dist="50800" dir="5400000" algn="ctr" rotWithShape="0">
            <a:schemeClr val="bg1">
              <a:lumMod val="75000"/>
            </a:scheme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09408555113407"/>
          <c:y val="4.87805252413624E-2"/>
          <c:w val="0.86550183915182999"/>
          <c:h val="0.82157142637872504"/>
        </c:manualLayout>
      </c:layout>
      <c:lineChart>
        <c:grouping val="standard"/>
        <c:varyColors val="0"/>
        <c:ser>
          <c:idx val="2"/>
          <c:order val="0"/>
          <c:tx>
            <c:strRef>
              <c:f>'G2'!$AQ$6</c:f>
              <c:strCache>
                <c:ptCount val="1"/>
                <c:pt idx="0">
                  <c:v>Cons Sem Guia</c:v>
                </c:pt>
              </c:strCache>
            </c:strRef>
          </c:tx>
          <c:spPr>
            <a:ln w="63500">
              <a:solidFill>
                <a:schemeClr val="accent3">
                  <a:shade val="95000"/>
                  <a:satMod val="105000"/>
                  <a:alpha val="50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  <a:latin typeface="Arial Narrow" pitchFamily="34" charset="0"/>
                  </a:defRPr>
                </a:pPr>
                <a:endParaRPr lang="es-CO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'G2'!$AO$7:$AO$14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'G2'!$AQ$7:$AQ$14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7-493C-BB33-5E2AB43E7406}"/>
            </c:ext>
          </c:extLst>
        </c:ser>
        <c:ser>
          <c:idx val="1"/>
          <c:order val="1"/>
          <c:tx>
            <c:strRef>
              <c:f>'G2'!$AP$6</c:f>
              <c:strCache>
                <c:ptCount val="1"/>
                <c:pt idx="0">
                  <c:v>Cons Sem Real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50800" dir="5400000" algn="ctr" rotWithShape="0">
                <a:schemeClr val="bg1">
                  <a:lumMod val="75000"/>
                </a:schemeClr>
              </a:outerShdw>
            </a:effectLst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  <a:effectLst>
                <a:outerShdw blurRad="50800" dist="50800" dir="5400000" algn="ctr" rotWithShape="0">
                  <a:schemeClr val="bg1">
                    <a:lumMod val="75000"/>
                  </a:schemeClr>
                </a:outerShdw>
              </a:effectLst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C00000"/>
                    </a:solidFill>
                    <a:latin typeface="Arial Narrow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'G2'!$AO$7:$AO$14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'G2'!$AP$7:$AP$14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7-493C-BB33-5E2AB43E7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772096"/>
        <c:axId val="1639773456"/>
      </c:lineChart>
      <c:catAx>
        <c:axId val="163977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1639773456"/>
        <c:crosses val="autoZero"/>
        <c:auto val="1"/>
        <c:lblAlgn val="ctr"/>
        <c:lblOffset val="1"/>
        <c:noMultiLvlLbl val="0"/>
      </c:catAx>
      <c:valAx>
        <c:axId val="16397734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_ ;[Red]\-#,##0\ " sourceLinked="0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Arial Narrow" pitchFamily="34" charset="0"/>
              </a:defRPr>
            </a:pPr>
            <a:endParaRPr lang="es-CO"/>
          </a:p>
        </c:txPr>
        <c:crossAx val="1639772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011947431302601"/>
          <c:y val="0.64969357357938395"/>
          <c:w val="0.24492234169653601"/>
          <c:h val="0.18707244416534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</c:spPr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Consumo Acumulado (Gr.)</a:t>
            </a:r>
          </a:p>
        </c:rich>
      </c:tx>
      <c:layout>
        <c:manualLayout>
          <c:xMode val="edge"/>
          <c:yMode val="edge"/>
          <c:x val="0.17293897402609701"/>
          <c:y val="9.3567251461988299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ln>
          <a:solidFill>
            <a:sysClr val="windowText" lastClr="000000"/>
          </a:solidFill>
        </a:ln>
        <a:effectLst>
          <a:outerShdw blurRad="50800" dist="50800" dir="5400000" algn="ctr" rotWithShape="0">
            <a:schemeClr val="bg1">
              <a:lumMod val="75000"/>
            </a:scheme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09408555113407"/>
          <c:y val="4.87805252413624E-2"/>
          <c:w val="0.86550183915182999"/>
          <c:h val="0.82157142637872504"/>
        </c:manualLayout>
      </c:layout>
      <c:lineChart>
        <c:grouping val="standard"/>
        <c:varyColors val="0"/>
        <c:ser>
          <c:idx val="2"/>
          <c:order val="0"/>
          <c:tx>
            <c:strRef>
              <c:f>'G2'!$AQ$15</c:f>
              <c:strCache>
                <c:ptCount val="1"/>
                <c:pt idx="0">
                  <c:v>Cons Acu Guia</c:v>
                </c:pt>
              </c:strCache>
            </c:strRef>
          </c:tx>
          <c:spPr>
            <a:ln w="69850">
              <a:solidFill>
                <a:schemeClr val="accent3">
                  <a:shade val="95000"/>
                  <a:satMod val="105000"/>
                  <a:alpha val="50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accent3">
                        <a:lumMod val="75000"/>
                      </a:schemeClr>
                    </a:solidFill>
                    <a:latin typeface="Arial Narrow" pitchFamily="34" charset="0"/>
                  </a:defRPr>
                </a:pPr>
                <a:endParaRPr lang="es-CO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'G2'!$AO$16:$AO$23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'G2'!$AQ$16:$AQ$23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D-426A-9D03-9957860AE400}"/>
            </c:ext>
          </c:extLst>
        </c:ser>
        <c:ser>
          <c:idx val="1"/>
          <c:order val="1"/>
          <c:tx>
            <c:strRef>
              <c:f>'G2'!$AP$15</c:f>
              <c:strCache>
                <c:ptCount val="1"/>
                <c:pt idx="0">
                  <c:v>Cons Acu Real</c:v>
                </c:pt>
              </c:strCache>
            </c:strRef>
          </c:tx>
          <c:spPr>
            <a:ln w="22225">
              <a:solidFill>
                <a:schemeClr val="accent3">
                  <a:lumMod val="75000"/>
                </a:schemeClr>
              </a:solidFill>
            </a:ln>
            <a:effectLst>
              <a:outerShdw blurRad="50800" dist="50800" dir="5400000" algn="ctr" rotWithShape="0">
                <a:schemeClr val="bg1">
                  <a:lumMod val="75000"/>
                </a:schemeClr>
              </a:outerShdw>
            </a:effectLst>
          </c:spPr>
          <c:marker>
            <c:symbol val="circle"/>
            <c:size val="5"/>
            <c:spPr>
              <a:solidFill>
                <a:srgbClr val="C00000"/>
              </a:solidFill>
              <a:ln cap="rnd">
                <a:solidFill>
                  <a:schemeClr val="tx1"/>
                </a:solidFill>
                <a:bevel/>
              </a:ln>
              <a:effectLst>
                <a:outerShdw blurRad="50800" dist="50800" dir="5400000" algn="ctr" rotWithShape="0">
                  <a:schemeClr val="bg1">
                    <a:lumMod val="75000"/>
                  </a:schemeClr>
                </a:outerShdw>
              </a:effectLst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anchor="ctr" anchorCtr="1"/>
              <a:lstStyle/>
              <a:p>
                <a:pPr>
                  <a:defRPr b="1">
                    <a:solidFill>
                      <a:srgbClr val="C00000"/>
                    </a:solidFill>
                    <a:latin typeface="Arial Narrow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'G2'!$AO$16:$AO$23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'G2'!$AP$16:$AP$23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D-426A-9D03-9957860AE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789248"/>
        <c:axId val="1639791296"/>
      </c:lineChart>
      <c:catAx>
        <c:axId val="163978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1639791296"/>
        <c:crosses val="autoZero"/>
        <c:auto val="1"/>
        <c:lblAlgn val="ctr"/>
        <c:lblOffset val="1"/>
        <c:noMultiLvlLbl val="0"/>
      </c:catAx>
      <c:valAx>
        <c:axId val="16397912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_ ;[Red]\-#,##0\ " sourceLinked="0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Arial Narrow" pitchFamily="34" charset="0"/>
              </a:defRPr>
            </a:pPr>
            <a:endParaRPr lang="es-CO"/>
          </a:p>
        </c:txPr>
        <c:crossAx val="1639789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011947431302701"/>
          <c:y val="0.62106387727927004"/>
          <c:w val="0.24492234169653601"/>
          <c:h val="0.21570215746492299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</c:spPr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4" l="0.70000000000000095" r="0.70000000000000095" t="0.750000000000004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O" sz="1400"/>
              <a:t>Peso Aves (Gr.)</a:t>
            </a:r>
          </a:p>
        </c:rich>
      </c:tx>
      <c:layout>
        <c:manualLayout>
          <c:xMode val="edge"/>
          <c:yMode val="edge"/>
          <c:x val="0.17293897402609701"/>
          <c:y val="9.3567251461988299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ln>
          <a:solidFill>
            <a:sysClr val="windowText" lastClr="000000"/>
          </a:solidFill>
        </a:ln>
        <a:effectLst>
          <a:outerShdw blurRad="50800" dist="50800" dir="5400000" algn="ctr" rotWithShape="0">
            <a:schemeClr val="bg1">
              <a:lumMod val="75000"/>
            </a:scheme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09408555113407"/>
          <c:y val="4.87805252413624E-2"/>
          <c:w val="0.86550183915182999"/>
          <c:h val="0.82157142637872504"/>
        </c:manualLayout>
      </c:layout>
      <c:lineChart>
        <c:grouping val="standard"/>
        <c:varyColors val="0"/>
        <c:ser>
          <c:idx val="2"/>
          <c:order val="0"/>
          <c:tx>
            <c:strRef>
              <c:f>'G2'!$AQ$24</c:f>
              <c:strCache>
                <c:ptCount val="1"/>
                <c:pt idx="0">
                  <c:v>Peso Guia</c:v>
                </c:pt>
              </c:strCache>
            </c:strRef>
          </c:tx>
          <c:spPr>
            <a:ln w="69850">
              <a:solidFill>
                <a:srgbClr val="C00000">
                  <a:alpha val="50000"/>
                </a:srgbClr>
              </a:solidFill>
            </a:ln>
          </c:spPr>
          <c:marker>
            <c:symbol val="triangle"/>
            <c:size val="7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accent3">
                        <a:lumMod val="75000"/>
                      </a:schemeClr>
                    </a:solidFill>
                    <a:latin typeface="Arial Narrow" pitchFamily="34" charset="0"/>
                  </a:defRPr>
                </a:pPr>
                <a:endParaRPr lang="es-CO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'G2'!$AO$25:$AO$32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'G2'!$AQ$25:$AQ$32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8-437C-8B4B-0F21C281248E}"/>
            </c:ext>
          </c:extLst>
        </c:ser>
        <c:ser>
          <c:idx val="1"/>
          <c:order val="1"/>
          <c:tx>
            <c:strRef>
              <c:f>'G2'!$AP$24</c:f>
              <c:strCache>
                <c:ptCount val="1"/>
                <c:pt idx="0">
                  <c:v>Peso Real</c:v>
                </c:pt>
              </c:strCache>
            </c:strRef>
          </c:tx>
          <c:spPr>
            <a:ln w="25400">
              <a:solidFill>
                <a:srgbClr val="C00000"/>
              </a:solidFill>
            </a:ln>
            <a:effectLst>
              <a:outerShdw blurRad="50800" dist="50800" dir="5400000" algn="ctr" rotWithShape="0">
                <a:schemeClr val="bg1">
                  <a:lumMod val="75000"/>
                </a:schemeClr>
              </a:outerShdw>
            </a:effectLst>
          </c:spPr>
          <c:marker>
            <c:symbol val="circle"/>
            <c:size val="5"/>
            <c:spPr>
              <a:solidFill>
                <a:srgbClr val="00B0F0"/>
              </a:solidFill>
              <a:ln cap="rnd">
                <a:solidFill>
                  <a:schemeClr val="tx1"/>
                </a:solidFill>
                <a:bevel/>
              </a:ln>
              <a:effectLst>
                <a:outerShdw blurRad="50800" dist="50800" dir="5400000" algn="ctr" rotWithShape="0">
                  <a:schemeClr val="bg1">
                    <a:lumMod val="75000"/>
                  </a:schemeClr>
                </a:outerShdw>
              </a:effectLst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C00000"/>
                    </a:solidFill>
                    <a:latin typeface="Arial Narrow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'G2'!$AO$25:$AO$32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('G2'!$AK$8,'G2'!$AK$15,'G2'!$AK$22,'G2'!$AK$29,'G2'!$AK$36,'G2'!$AK$43,'G2'!$AK$50,'G2'!$AK$57)</c:f>
              <c:numCache>
                <c:formatCode>#,##0.0_ ;[Red]\-#,##0.0\ </c:formatCode>
                <c:ptCount val="8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238-437C-8B4B-0F21C2812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5387120"/>
        <c:axId val="1576868912"/>
      </c:lineChart>
      <c:catAx>
        <c:axId val="160538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1576868912"/>
        <c:crosses val="autoZero"/>
        <c:auto val="1"/>
        <c:lblAlgn val="ctr"/>
        <c:lblOffset val="1"/>
        <c:noMultiLvlLbl val="0"/>
      </c:catAx>
      <c:valAx>
        <c:axId val="15768689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_ ;[Red]\-#,##0\ " sourceLinked="0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Arial Narrow" pitchFamily="34" charset="0"/>
              </a:defRPr>
            </a:pPr>
            <a:endParaRPr lang="es-CO"/>
          </a:p>
        </c:txPr>
        <c:crossAx val="1605387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011947431302701"/>
          <c:y val="0.62106387727927004"/>
          <c:w val="0.24492234169653701"/>
          <c:h val="0.21570215746492299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</c:spPr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4" l="0.70000000000000095" r="0.70000000000000095" t="0.750000000000004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Parámetros Zootécnicos</a:t>
            </a:r>
          </a:p>
        </c:rich>
      </c:tx>
      <c:layout>
        <c:manualLayout>
          <c:xMode val="edge"/>
          <c:yMode val="edge"/>
          <c:x val="0.25896047940244299"/>
          <c:y val="2.49397869383974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ln>
          <a:solidFill>
            <a:sysClr val="windowText" lastClr="000000"/>
          </a:solidFill>
        </a:ln>
        <a:effectLst>
          <a:outerShdw blurRad="50800" dist="50800" dir="5400000" algn="ctr" rotWithShape="0">
            <a:schemeClr val="bg1">
              <a:lumMod val="75000"/>
            </a:scheme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9.0254518636157494E-2"/>
          <c:y val="4.87805252413624E-2"/>
          <c:w val="0.88465596076892095"/>
          <c:h val="0.86146785116036795"/>
        </c:manualLayout>
      </c:layout>
      <c:lineChart>
        <c:grouping val="standard"/>
        <c:varyColors val="0"/>
        <c:ser>
          <c:idx val="2"/>
          <c:order val="0"/>
          <c:tx>
            <c:strRef>
              <c:f>'G2'!$AQ$42</c:f>
              <c:strCache>
                <c:ptCount val="1"/>
                <c:pt idx="0">
                  <c:v>IP Guia</c:v>
                </c:pt>
              </c:strCache>
            </c:strRef>
          </c:tx>
          <c:spPr>
            <a:ln w="69850">
              <a:solidFill>
                <a:srgbClr val="0070C0">
                  <a:alpha val="50000"/>
                </a:srgbClr>
              </a:solidFill>
            </a:ln>
          </c:spPr>
          <c:marker>
            <c:symbol val="triangle"/>
            <c:size val="6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'G2'!$AO$34:$AO$41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'G2'!$AQ$43:$AQ$50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DB9-4601-ABCF-B83CB5FEA2E2}"/>
            </c:ext>
          </c:extLst>
        </c:ser>
        <c:ser>
          <c:idx val="1"/>
          <c:order val="1"/>
          <c:tx>
            <c:strRef>
              <c:f>'G2'!$AP$42</c:f>
              <c:strCache>
                <c:ptCount val="1"/>
                <c:pt idx="0">
                  <c:v>IP Real</c:v>
                </c:pt>
              </c:strCache>
            </c:strRef>
          </c:tx>
          <c:spPr>
            <a:ln w="22225">
              <a:solidFill>
                <a:srgbClr val="002060"/>
              </a:solidFill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dLbls>
            <c:spPr>
              <a:solidFill>
                <a:srgbClr val="FFFF00">
                  <a:alpha val="60000"/>
                </a:srgbClr>
              </a:solidFill>
            </c:spPr>
            <c:txPr>
              <a:bodyPr/>
              <a:lstStyle/>
              <a:p>
                <a:pPr>
                  <a:defRPr b="1">
                    <a:solidFill>
                      <a:srgbClr val="C00000"/>
                    </a:solidFill>
                    <a:latin typeface="Arial Narrow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'G2'!$AO$34:$AO$41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'G2'!$AP$43:$AP$50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DB9-4601-ABCF-B83CB5FEA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361520"/>
        <c:axId val="1605370960"/>
      </c:lineChart>
      <c:catAx>
        <c:axId val="160636152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1605370960"/>
        <c:crosses val="autoZero"/>
        <c:auto val="1"/>
        <c:lblAlgn val="ctr"/>
        <c:lblOffset val="1"/>
        <c:noMultiLvlLbl val="0"/>
      </c:catAx>
      <c:valAx>
        <c:axId val="160537096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[Red]\-#,##0\ " sourceLinked="0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Arial Narrow" pitchFamily="34" charset="0"/>
              </a:defRPr>
            </a:pPr>
            <a:endParaRPr lang="es-CO"/>
          </a:p>
        </c:txPr>
        <c:crossAx val="1606361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620071684587801"/>
          <c:y val="0.17008337193145001"/>
          <c:w val="0.21320200566327099"/>
          <c:h val="0.24003624547935001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</c:spPr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4" l="0.70000000000000095" r="0.70000000000000095" t="0.750000000000004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es-CO" sz="1200" b="0"/>
              <a:t>% Cumplimiento</a:t>
            </a:r>
          </a:p>
        </c:rich>
      </c:tx>
      <c:layout>
        <c:manualLayout>
          <c:xMode val="edge"/>
          <c:yMode val="edge"/>
          <c:x val="0.718566929133858"/>
          <c:y val="1.683489228276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effectLst>
          <a:outerShdw blurRad="50800" dist="50800" dir="5400000" algn="ctr" rotWithShape="0">
            <a:schemeClr val="bg1">
              <a:lumMod val="85000"/>
            </a:schemeClr>
          </a:outerShdw>
        </a:effectLst>
        <a:scene3d>
          <a:camera prst="orthographicFront"/>
          <a:lightRig rig="threePt" dir="t"/>
        </a:scene3d>
        <a:sp3d prstMaterial="dkEdge">
          <a:bevelT/>
        </a:sp3d>
      </c:spPr>
    </c:title>
    <c:autoTitleDeleted val="0"/>
    <c:plotArea>
      <c:layout>
        <c:manualLayout>
          <c:layoutTarget val="inner"/>
          <c:xMode val="edge"/>
          <c:yMode val="edge"/>
          <c:x val="9.3817516231523707E-2"/>
          <c:y val="2.42172379967657E-2"/>
          <c:w val="0.87548072938251098"/>
          <c:h val="0.93840054084148505"/>
        </c:manualLayout>
      </c:layout>
      <c:lineChart>
        <c:grouping val="standard"/>
        <c:varyColors val="0"/>
        <c:ser>
          <c:idx val="1"/>
          <c:order val="0"/>
          <c:tx>
            <c:v>% Cump IP</c:v>
          </c:tx>
          <c:spPr>
            <a:ln w="38100"/>
          </c:spPr>
          <c:marker>
            <c:symbol val="square"/>
            <c:size val="5"/>
          </c:marker>
          <c:dLbls>
            <c:spPr>
              <a:ln>
                <a:solidFill>
                  <a:srgbClr val="C00000"/>
                </a:solidFill>
              </a:ln>
            </c:spPr>
            <c:txPr>
              <a:bodyPr/>
              <a:lstStyle/>
              <a:p>
                <a:pPr>
                  <a:defRPr b="0">
                    <a:latin typeface="Arial Narrow" pitchFamily="34" charset="0"/>
                  </a:defRPr>
                </a:pPr>
                <a:endParaRPr lang="es-CO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'G2'!$AO$43:$AO$50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'G2'!$AR$43:$AR$50</c:f>
              <c:numCache>
                <c:formatCode>[Blue]\+?0.0_ ;[Red]\-\ ?0.0\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765-4C41-925D-22B52E1CA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277584"/>
        <c:axId val="1639251008"/>
      </c:lineChart>
      <c:catAx>
        <c:axId val="163927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es-CO"/>
          </a:p>
        </c:txPr>
        <c:crossAx val="1639251008"/>
        <c:crosses val="autoZero"/>
        <c:auto val="1"/>
        <c:lblAlgn val="ctr"/>
        <c:lblOffset val="1"/>
        <c:noMultiLvlLbl val="0"/>
      </c:catAx>
      <c:valAx>
        <c:axId val="1639251008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[Blue]\+?0.0_ ;[Red]\-\ ?0.0\ " sourceLinked="1"/>
        <c:majorTickMark val="out"/>
        <c:minorTickMark val="none"/>
        <c:tickLblPos val="nextTo"/>
        <c:spPr>
          <a:ln w="31750">
            <a:solidFill>
              <a:srgbClr val="C00000"/>
            </a:solidFill>
          </a:ln>
        </c:spPr>
        <c:txPr>
          <a:bodyPr/>
          <a:lstStyle/>
          <a:p>
            <a:pPr>
              <a:defRPr sz="11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39277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604583080961005"/>
          <c:y val="0.90059504306928095"/>
          <c:w val="0.26115546133656398"/>
          <c:h val="7.5745645430684794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1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4" l="0.70000000000000095" r="0.70000000000000095" t="0.750000000000004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Parámetros Zootécnicos</a:t>
            </a:r>
          </a:p>
        </c:rich>
      </c:tx>
      <c:layout>
        <c:manualLayout>
          <c:xMode val="edge"/>
          <c:yMode val="edge"/>
          <c:x val="0.25896047940244299"/>
          <c:y val="2.49397869383974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ln>
          <a:solidFill>
            <a:sysClr val="windowText" lastClr="000000"/>
          </a:solidFill>
        </a:ln>
        <a:effectLst>
          <a:outerShdw blurRad="50800" dist="50800" dir="5400000" algn="ctr" rotWithShape="0">
            <a:schemeClr val="bg1">
              <a:lumMod val="75000"/>
            </a:scheme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8.7860264544339498E-2"/>
          <c:y val="4.87805252413624E-2"/>
          <c:w val="0.88705021486073898"/>
          <c:h val="0.85979104286845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'G2'!$AQ$33</c:f>
              <c:strCache>
                <c:ptCount val="1"/>
                <c:pt idx="0">
                  <c:v>Ef. Am. Guia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scene3d>
              <a:camera prst="orthographicFront"/>
              <a:lightRig rig="threePt" dir="t"/>
            </a:scene3d>
            <a:sp3d prstMaterial="dkEdge"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1">
                    <a:latin typeface="Arial Narrow" pitchFamily="34" charset="0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'G2'!$AO$34:$AO$41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'G2'!$AQ$34:$AQ$41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7-4348-9553-2CB85C6B9BF6}"/>
            </c:ext>
          </c:extLst>
        </c:ser>
        <c:ser>
          <c:idx val="3"/>
          <c:order val="1"/>
          <c:tx>
            <c:strRef>
              <c:f>'G2'!$AP$33</c:f>
              <c:strCache>
                <c:ptCount val="1"/>
                <c:pt idx="0">
                  <c:v>Ef. Am. Real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scene3d>
              <a:camera prst="orthographicFront"/>
              <a:lightRig rig="threePt" dir="t"/>
            </a:scene3d>
            <a:sp3d prstMaterial="dkEdge"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1">
                    <a:latin typeface="Arial Narrow" pitchFamily="34" charset="0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'G2'!$AO$34:$AO$41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'G2'!$AP$34:$AP$41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B7-4348-9553-2CB85C6B9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-6"/>
        <c:axId val="1639128240"/>
        <c:axId val="1639130288"/>
      </c:barChart>
      <c:catAx>
        <c:axId val="163912824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1639130288"/>
        <c:crosses val="autoZero"/>
        <c:auto val="1"/>
        <c:lblAlgn val="ctr"/>
        <c:lblOffset val="1"/>
        <c:noMultiLvlLbl val="0"/>
      </c:catAx>
      <c:valAx>
        <c:axId val="16391302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[Red]\-#,##0\ " sourceLinked="0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Arial Narrow" pitchFamily="34" charset="0"/>
              </a:defRPr>
            </a:pPr>
            <a:endParaRPr lang="es-CO"/>
          </a:p>
        </c:txPr>
        <c:crossAx val="1639128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620071684587801"/>
          <c:y val="0.17008337193145001"/>
          <c:w val="0.21320200566327099"/>
          <c:h val="0.24003624547935001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</c:spPr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4" l="0.70000000000000095" r="0.70000000000000095" t="0.750000000000004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es-CO" sz="1200" b="0"/>
              <a:t>% Cumplimiento</a:t>
            </a:r>
          </a:p>
        </c:rich>
      </c:tx>
      <c:layout>
        <c:manualLayout>
          <c:xMode val="edge"/>
          <c:yMode val="edge"/>
          <c:x val="0.17534506676856301"/>
          <c:y val="4.9228322561854602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effectLst>
          <a:outerShdw blurRad="50800" dist="50800" dir="5400000" algn="ctr" rotWithShape="0">
            <a:schemeClr val="bg1">
              <a:lumMod val="85000"/>
            </a:schemeClr>
          </a:outerShdw>
        </a:effectLst>
        <a:scene3d>
          <a:camera prst="orthographicFront"/>
          <a:lightRig rig="threePt" dir="t"/>
        </a:scene3d>
        <a:sp3d prstMaterial="dkEdge">
          <a:bevelT/>
        </a:sp3d>
      </c:spPr>
    </c:title>
    <c:autoTitleDeleted val="0"/>
    <c:plotArea>
      <c:layout>
        <c:manualLayout>
          <c:layoutTarget val="inner"/>
          <c:xMode val="edge"/>
          <c:yMode val="edge"/>
          <c:x val="8.9856064504898095E-2"/>
          <c:y val="3.1547963595106802E-2"/>
          <c:w val="0.91014393549510197"/>
          <c:h val="0.92957061438797095"/>
        </c:manualLayout>
      </c:layout>
      <c:lineChart>
        <c:grouping val="standard"/>
        <c:varyColors val="0"/>
        <c:ser>
          <c:idx val="4"/>
          <c:order val="0"/>
          <c:tx>
            <c:v>% Gan Peso G2</c:v>
          </c:tx>
          <c:spPr>
            <a:ln w="19050">
              <a:solidFill>
                <a:srgbClr val="C00000"/>
              </a:solidFill>
              <a:prstDash val="lgDash"/>
            </a:ln>
          </c:spPr>
          <c:cat>
            <c:numRef>
              <c:f>Con!$AO$8:$AO$15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('G2'!$AM$9,'G2'!$AM$16,'G2'!$AM$23,'G2'!$AM$30,'G2'!$AM$37,'G2'!$AM$44,'G2'!$AM$51,'G2'!$AM$58)</c:f>
              <c:numCache>
                <c:formatCode>[Blue]\+?0.0_ ;[Red]\-\ ?0.0\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32E-4A55-B1E5-7CAEE8463FC9}"/>
            </c:ext>
          </c:extLst>
        </c:ser>
        <c:ser>
          <c:idx val="2"/>
          <c:order val="1"/>
          <c:tx>
            <c:v>% Cons Sem G2</c:v>
          </c:tx>
          <c:spPr>
            <a:ln w="19050">
              <a:solidFill>
                <a:srgbClr val="00B050"/>
              </a:solidFill>
              <a:prstDash val="lgDash"/>
            </a:ln>
          </c:spPr>
          <c:cat>
            <c:numRef>
              <c:f>Con!$AO$8:$AO$15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'G2'!$AR$7:$AR$14</c:f>
              <c:numCache>
                <c:formatCode>[Blue]\+?0.0_ ;[Red]\-\ ?0.0\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32E-4A55-B1E5-7CAEE8463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843968"/>
        <c:axId val="1639846288"/>
      </c:lineChart>
      <c:catAx>
        <c:axId val="163984396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600" b="1"/>
            </a:pPr>
            <a:endParaRPr lang="es-CO"/>
          </a:p>
        </c:txPr>
        <c:crossAx val="1639846288"/>
        <c:crosses val="autoZero"/>
        <c:auto val="1"/>
        <c:lblAlgn val="ctr"/>
        <c:lblOffset val="1"/>
        <c:noMultiLvlLbl val="0"/>
      </c:catAx>
      <c:valAx>
        <c:axId val="1639846288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[Blue]\+?0.0_ ;[Red]\-\ ?0.0\ " sourceLinked="1"/>
        <c:majorTickMark val="out"/>
        <c:minorTickMark val="none"/>
        <c:tickLblPos val="nextTo"/>
        <c:spPr>
          <a:ln w="31750">
            <a:solidFill>
              <a:srgbClr val="C00000"/>
            </a:solidFill>
          </a:ln>
        </c:spPr>
        <c:txPr>
          <a:bodyPr/>
          <a:lstStyle/>
          <a:p>
            <a:pPr>
              <a:defRPr sz="1100" b="0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1639843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849715660542401"/>
          <c:y val="0.87123177311169397"/>
          <c:w val="0.582656650677286"/>
          <c:h val="0.109484543598717"/>
        </c:manualLayout>
      </c:layout>
      <c:overlay val="0"/>
      <c:spPr>
        <a:solidFill>
          <a:schemeClr val="accent6">
            <a:lumMod val="40000"/>
            <a:lumOff val="60000"/>
            <a:alpha val="60000"/>
          </a:schemeClr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1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es-CO" sz="1200" b="0"/>
              <a:t>% Cumplimiento</a:t>
            </a:r>
          </a:p>
        </c:rich>
      </c:tx>
      <c:layout>
        <c:manualLayout>
          <c:xMode val="edge"/>
          <c:yMode val="edge"/>
          <c:x val="0.121782180618902"/>
          <c:y val="5.3277490943971197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effectLst>
          <a:outerShdw blurRad="50800" dist="50800" dir="5400000" algn="ctr" rotWithShape="0">
            <a:schemeClr val="bg1">
              <a:lumMod val="85000"/>
            </a:schemeClr>
          </a:outerShdw>
        </a:effectLst>
        <a:scene3d>
          <a:camera prst="orthographicFront"/>
          <a:lightRig rig="threePt" dir="t"/>
        </a:scene3d>
        <a:sp3d prstMaterial="dkEdge">
          <a:bevelT/>
        </a:sp3d>
      </c:spPr>
    </c:title>
    <c:autoTitleDeleted val="0"/>
    <c:plotArea>
      <c:layout>
        <c:manualLayout>
          <c:layoutTarget val="inner"/>
          <c:xMode val="edge"/>
          <c:yMode val="edge"/>
          <c:x val="9.7890497427347095E-2"/>
          <c:y val="3.1547963595106802E-2"/>
          <c:w val="0.90210950257265299"/>
          <c:h val="0.92957061438797095"/>
        </c:manualLayout>
      </c:layout>
      <c:lineChart>
        <c:grouping val="standard"/>
        <c:varyColors val="0"/>
        <c:ser>
          <c:idx val="5"/>
          <c:order val="0"/>
          <c:tx>
            <c:v>% Peso G2</c:v>
          </c:tx>
          <c:spPr>
            <a:ln w="19050">
              <a:solidFill>
                <a:srgbClr val="C00000"/>
              </a:solidFill>
              <a:prstDash val="sysDash"/>
            </a:ln>
          </c:spPr>
          <c:cat>
            <c:numRef>
              <c:f>Con!$AO$8:$AO$15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'G2'!$AR$25:$AR$32</c:f>
              <c:numCache>
                <c:formatCode>[Blue]\+?0.0_ ;[Red]\-\ ?0.0\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E97-4619-816D-D87801BEF296}"/>
            </c:ext>
          </c:extLst>
        </c:ser>
        <c:ser>
          <c:idx val="3"/>
          <c:order val="1"/>
          <c:tx>
            <c:v>% Con Ac G2</c:v>
          </c:tx>
          <c:spPr>
            <a:ln w="19050">
              <a:solidFill>
                <a:srgbClr val="00B050"/>
              </a:solidFill>
              <a:prstDash val="sysDash"/>
            </a:ln>
          </c:spPr>
          <c:cat>
            <c:numRef>
              <c:f>Con!$AO$8:$AO$15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'G2'!$AR$16:$AR$23</c:f>
              <c:numCache>
                <c:formatCode>[Blue]\+?0.0_ ;[Red]\-\ ?0.0\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E97-4619-816D-D87801BEF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410448"/>
        <c:axId val="1639412768"/>
      </c:lineChart>
      <c:catAx>
        <c:axId val="163941044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600" b="1"/>
            </a:pPr>
            <a:endParaRPr lang="es-CO"/>
          </a:p>
        </c:txPr>
        <c:crossAx val="1639412768"/>
        <c:crosses val="autoZero"/>
        <c:auto val="1"/>
        <c:lblAlgn val="ctr"/>
        <c:lblOffset val="1"/>
        <c:noMultiLvlLbl val="0"/>
      </c:catAx>
      <c:valAx>
        <c:axId val="1639412768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[Blue]\+?0.0_ ;[Red]\-\ ?0.0\ " sourceLinked="0"/>
        <c:majorTickMark val="out"/>
        <c:minorTickMark val="none"/>
        <c:tickLblPos val="nextTo"/>
        <c:spPr>
          <a:ln w="31750">
            <a:solidFill>
              <a:srgbClr val="C00000"/>
            </a:solidFill>
          </a:ln>
        </c:spPr>
        <c:txPr>
          <a:bodyPr/>
          <a:lstStyle/>
          <a:p>
            <a:pPr>
              <a:defRPr sz="1200" b="0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1639410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154083475367042"/>
          <c:y val="0.89424559757526045"/>
          <c:w val="0.58076208263975293"/>
          <c:h val="8.6470883181599845E-2"/>
        </c:manualLayout>
      </c:layout>
      <c:overlay val="0"/>
      <c:spPr>
        <a:solidFill>
          <a:schemeClr val="accent6">
            <a:lumMod val="40000"/>
            <a:lumOff val="60000"/>
            <a:alpha val="60000"/>
          </a:schemeClr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200" b="0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es-CO" sz="1200" b="0"/>
              <a:t>% Cumplimiento</a:t>
            </a:r>
          </a:p>
        </c:rich>
      </c:tx>
      <c:layout>
        <c:manualLayout>
          <c:xMode val="edge"/>
          <c:yMode val="edge"/>
          <c:x val="0.726259236826166"/>
          <c:y val="1.683489228276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effectLst>
          <a:outerShdw blurRad="50800" dist="50800" dir="5400000" algn="ctr" rotWithShape="0">
            <a:schemeClr val="bg1">
              <a:lumMod val="85000"/>
            </a:schemeClr>
          </a:outerShdw>
        </a:effectLst>
        <a:scene3d>
          <a:camera prst="orthographicFront"/>
          <a:lightRig rig="threePt" dir="t"/>
        </a:scene3d>
        <a:sp3d prstMaterial="dkEdge">
          <a:bevelT/>
        </a:sp3d>
      </c:spPr>
    </c:title>
    <c:autoTitleDeleted val="0"/>
    <c:plotArea>
      <c:layout>
        <c:manualLayout>
          <c:layoutTarget val="inner"/>
          <c:xMode val="edge"/>
          <c:yMode val="edge"/>
          <c:x val="9.3817516231523707E-2"/>
          <c:y val="2.42172379967657E-2"/>
          <c:w val="0.87548072938251098"/>
          <c:h val="0.93840054084148505"/>
        </c:manualLayout>
      </c:layout>
      <c:lineChart>
        <c:grouping val="standard"/>
        <c:varyColors val="0"/>
        <c:ser>
          <c:idx val="0"/>
          <c:order val="0"/>
          <c:tx>
            <c:v>% Cump Efic</c:v>
          </c:tx>
          <c:spPr>
            <a:ln w="38100"/>
          </c:spPr>
          <c:marker>
            <c:symbol val="diamond"/>
            <c:size val="5"/>
          </c:marker>
          <c:dLbls>
            <c:spPr>
              <a:ln>
                <a:solidFill>
                  <a:srgbClr val="0070C0"/>
                </a:solidFill>
              </a:ln>
            </c:spPr>
            <c:txPr>
              <a:bodyPr/>
              <a:lstStyle/>
              <a:p>
                <a:pPr>
                  <a:defRPr>
                    <a:latin typeface="Arial Narrow" pitchFamily="34" charset="0"/>
                  </a:defRPr>
                </a:pPr>
                <a:endParaRPr lang="es-CO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'G2'!$AO$43:$AO$50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'G2'!$AR$34:$AR$41</c:f>
              <c:numCache>
                <c:formatCode>[Blue]\+?0.0_ ;[Red]\-\ ?0.0\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DBB-4937-8C2F-C9799D368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6250992"/>
        <c:axId val="1576290048"/>
      </c:lineChart>
      <c:catAx>
        <c:axId val="157625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es-CO"/>
          </a:p>
        </c:txPr>
        <c:crossAx val="1576290048"/>
        <c:crosses val="autoZero"/>
        <c:auto val="1"/>
        <c:lblAlgn val="ctr"/>
        <c:lblOffset val="1"/>
        <c:noMultiLvlLbl val="0"/>
      </c:catAx>
      <c:valAx>
        <c:axId val="1576290048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[Blue]\+?0.0_ ;[Red]\-\ ?0.0\ " sourceLinked="1"/>
        <c:majorTickMark val="out"/>
        <c:minorTickMark val="none"/>
        <c:tickLblPos val="nextTo"/>
        <c:spPr>
          <a:ln w="31750">
            <a:solidFill>
              <a:srgbClr val="C00000"/>
            </a:solidFill>
          </a:ln>
        </c:spPr>
        <c:txPr>
          <a:bodyPr/>
          <a:lstStyle/>
          <a:p>
            <a:pPr>
              <a:defRPr sz="11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57625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322531798909805"/>
          <c:y val="0.90059504306928095"/>
          <c:w val="0.27654007672117897"/>
          <c:h val="7.5745645430684794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1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4" l="0.70000000000000095" r="0.70000000000000095" t="0.750000000000004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Consumo Acumulado (Gr.)</a:t>
            </a:r>
          </a:p>
        </c:rich>
      </c:tx>
      <c:layout>
        <c:manualLayout>
          <c:xMode val="edge"/>
          <c:yMode val="edge"/>
          <c:x val="0.17293897402609701"/>
          <c:y val="9.3567251461988299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ln>
          <a:solidFill>
            <a:sysClr val="windowText" lastClr="000000"/>
          </a:solidFill>
        </a:ln>
        <a:effectLst>
          <a:outerShdw blurRad="50800" dist="50800" dir="5400000" algn="ctr" rotWithShape="0">
            <a:schemeClr val="bg1">
              <a:lumMod val="75000"/>
            </a:scheme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09408555113407"/>
          <c:y val="4.87805252413624E-2"/>
          <c:w val="0.86550183915182999"/>
          <c:h val="0.85228165097405095"/>
        </c:manualLayout>
      </c:layout>
      <c:lineChart>
        <c:grouping val="standard"/>
        <c:varyColors val="0"/>
        <c:ser>
          <c:idx val="2"/>
          <c:order val="0"/>
          <c:tx>
            <c:strRef>
              <c:f>'G1'!$AQ$15</c:f>
              <c:strCache>
                <c:ptCount val="1"/>
                <c:pt idx="0">
                  <c:v>Cons Acu Guia</c:v>
                </c:pt>
              </c:strCache>
            </c:strRef>
          </c:tx>
          <c:spPr>
            <a:ln w="63500">
              <a:solidFill>
                <a:schemeClr val="accent3">
                  <a:shade val="95000"/>
                  <a:satMod val="105000"/>
                  <a:alpha val="50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accent3">
                        <a:lumMod val="75000"/>
                      </a:schemeClr>
                    </a:solidFill>
                    <a:latin typeface="Arial Narrow" pitchFamily="34" charset="0"/>
                  </a:defRPr>
                </a:pPr>
                <a:endParaRPr lang="es-CO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'G1'!$AO$16:$AO$23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'G1'!$AQ$16:$AQ$23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E-480B-843B-D12A21C8AC9D}"/>
            </c:ext>
          </c:extLst>
        </c:ser>
        <c:ser>
          <c:idx val="1"/>
          <c:order val="1"/>
          <c:tx>
            <c:strRef>
              <c:f>'G1'!$AP$15</c:f>
              <c:strCache>
                <c:ptCount val="1"/>
                <c:pt idx="0">
                  <c:v>Cons Acu Real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</a:ln>
            <a:effectLst>
              <a:outerShdw blurRad="50800" dist="50800" dir="5400000" algn="ctr" rotWithShape="0">
                <a:schemeClr val="bg1">
                  <a:lumMod val="75000"/>
                </a:schemeClr>
              </a:outerShdw>
            </a:effectLst>
          </c:spPr>
          <c:marker>
            <c:symbol val="circle"/>
            <c:size val="5"/>
            <c:spPr>
              <a:solidFill>
                <a:srgbClr val="C00000"/>
              </a:solidFill>
              <a:ln cap="rnd">
                <a:solidFill>
                  <a:schemeClr val="tx1"/>
                </a:solidFill>
                <a:bevel/>
              </a:ln>
              <a:effectLst>
                <a:outerShdw blurRad="50800" dist="50800" dir="5400000" algn="ctr" rotWithShape="0">
                  <a:schemeClr val="bg1">
                    <a:lumMod val="75000"/>
                  </a:schemeClr>
                </a:outerShdw>
              </a:effectLst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anchor="ctr" anchorCtr="1"/>
              <a:lstStyle/>
              <a:p>
                <a:pPr>
                  <a:defRPr b="1">
                    <a:solidFill>
                      <a:srgbClr val="C00000"/>
                    </a:solidFill>
                    <a:latin typeface="Arial Narrow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'G1'!$AO$16:$AO$23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'G1'!$AP$16:$AP$23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E-480B-843B-D12A21C8A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6565120"/>
        <c:axId val="1605788176"/>
      </c:lineChart>
      <c:catAx>
        <c:axId val="157656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1605788176"/>
        <c:crosses val="autoZero"/>
        <c:auto val="1"/>
        <c:lblAlgn val="ctr"/>
        <c:lblOffset val="1"/>
        <c:noMultiLvlLbl val="0"/>
      </c:catAx>
      <c:valAx>
        <c:axId val="16057881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_ ;[Red]\-#,##0\ " sourceLinked="0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Arial Narrow" pitchFamily="34" charset="0"/>
              </a:defRPr>
            </a:pPr>
            <a:endParaRPr lang="es-CO"/>
          </a:p>
        </c:txPr>
        <c:crossAx val="1576565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011947431302601"/>
          <c:y val="0.62106387727927004"/>
          <c:w val="0.24492234169653601"/>
          <c:h val="0.21570215746492299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</c:spPr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849944758193906E-2"/>
          <c:y val="0.13964044775373499"/>
          <c:w val="0.91139903156527802"/>
          <c:h val="0.766866223577033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'G2'!$BA$36</c:f>
              <c:strCache>
                <c:ptCount val="1"/>
                <c:pt idx="0">
                  <c:v>Biomasa Real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'G2'!$AZ$37:$AZ$44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'G2'!$BA$37:$BA$44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9-46F8-8B2E-D6AC085719A9}"/>
            </c:ext>
          </c:extLst>
        </c:ser>
        <c:ser>
          <c:idx val="2"/>
          <c:order val="1"/>
          <c:tx>
            <c:strRef>
              <c:f>'G2'!$BB$36</c:f>
              <c:strCache>
                <c:ptCount val="1"/>
                <c:pt idx="0">
                  <c:v>Biomasa Guía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'G2'!$AZ$37:$AZ$44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'G2'!$BB$37:$BB$44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9-46F8-8B2E-D6AC08571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overlap val="-16"/>
        <c:axId val="1639545264"/>
        <c:axId val="1639547312"/>
      </c:barChart>
      <c:catAx>
        <c:axId val="163954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1639547312"/>
        <c:crosses val="autoZero"/>
        <c:auto val="1"/>
        <c:lblAlgn val="ctr"/>
        <c:lblOffset val="1"/>
        <c:noMultiLvlLbl val="0"/>
      </c:catAx>
      <c:valAx>
        <c:axId val="16395473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.0_ ;[Red]\-#,##0.0\ 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 Narrow" pitchFamily="34" charset="0"/>
              </a:defRPr>
            </a:pPr>
            <a:endParaRPr lang="es-CO"/>
          </a:p>
        </c:txPr>
        <c:crossAx val="16395452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935313330232906"/>
          <c:y val="2.0833333333333332E-2"/>
          <c:w val="0.48258340416205614"/>
          <c:h val="0.10132340879265092"/>
        </c:manualLayout>
      </c:layout>
      <c:overlay val="0"/>
      <c:spPr>
        <a:solidFill>
          <a:sysClr val="window" lastClr="FFFFFF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c:spPr>
      <c:txPr>
        <a:bodyPr/>
        <a:lstStyle/>
        <a:p>
          <a:pPr>
            <a:defRPr sz="1200">
              <a:latin typeface="Arial Narrow" pitchFamily="34" charset="0"/>
            </a:defRPr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Consumo Semanal (Gr.)</a:t>
            </a:r>
          </a:p>
        </c:rich>
      </c:tx>
      <c:layout>
        <c:manualLayout>
          <c:xMode val="edge"/>
          <c:yMode val="edge"/>
          <c:x val="0.17293897402609701"/>
          <c:y val="9.3567251461988299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ln>
          <a:solidFill>
            <a:sysClr val="windowText" lastClr="000000"/>
          </a:solidFill>
        </a:ln>
        <a:effectLst>
          <a:outerShdw blurRad="50800" dist="50800" dir="5400000" algn="ctr" rotWithShape="0">
            <a:schemeClr val="bg1">
              <a:lumMod val="75000"/>
            </a:scheme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09408555113407"/>
          <c:y val="4.87805252413624E-2"/>
          <c:w val="0.86550183915182999"/>
          <c:h val="0.82157142637872504"/>
        </c:manualLayout>
      </c:layout>
      <c:lineChart>
        <c:grouping val="standard"/>
        <c:varyColors val="0"/>
        <c:ser>
          <c:idx val="2"/>
          <c:order val="0"/>
          <c:tx>
            <c:strRef>
              <c:f>'G3'!$AQ$6</c:f>
              <c:strCache>
                <c:ptCount val="1"/>
                <c:pt idx="0">
                  <c:v>Cons Sem Guia</c:v>
                </c:pt>
              </c:strCache>
            </c:strRef>
          </c:tx>
          <c:spPr>
            <a:ln w="63500">
              <a:solidFill>
                <a:schemeClr val="accent3">
                  <a:shade val="95000"/>
                  <a:satMod val="105000"/>
                  <a:alpha val="50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  <a:latin typeface="Arial Narrow" pitchFamily="34" charset="0"/>
                  </a:defRPr>
                </a:pPr>
                <a:endParaRPr lang="es-CO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'G3'!$AO$7:$AO$14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'G3'!$AQ$7:$AQ$14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61-46A7-B43B-625A8A6C9A16}"/>
            </c:ext>
          </c:extLst>
        </c:ser>
        <c:ser>
          <c:idx val="1"/>
          <c:order val="1"/>
          <c:tx>
            <c:strRef>
              <c:f>'G3'!$AP$6</c:f>
              <c:strCache>
                <c:ptCount val="1"/>
                <c:pt idx="0">
                  <c:v>Cons Sem Real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50800" dir="5400000" algn="ctr" rotWithShape="0">
                <a:schemeClr val="bg1">
                  <a:lumMod val="75000"/>
                </a:schemeClr>
              </a:outerShdw>
            </a:effectLst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  <a:effectLst>
                <a:outerShdw blurRad="50800" dist="50800" dir="5400000" algn="ctr" rotWithShape="0">
                  <a:schemeClr val="bg1">
                    <a:lumMod val="75000"/>
                  </a:schemeClr>
                </a:outerShdw>
              </a:effectLst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C00000"/>
                    </a:solidFill>
                    <a:latin typeface="Arial Narrow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'G3'!$AO$7:$AO$14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'G3'!$AP$7:$AP$14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1-46A7-B43B-625A8A6C9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772096"/>
        <c:axId val="1639773456"/>
      </c:lineChart>
      <c:catAx>
        <c:axId val="163977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1639773456"/>
        <c:crosses val="autoZero"/>
        <c:auto val="1"/>
        <c:lblAlgn val="ctr"/>
        <c:lblOffset val="1"/>
        <c:noMultiLvlLbl val="0"/>
      </c:catAx>
      <c:valAx>
        <c:axId val="16397734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_ ;[Red]\-#,##0\ " sourceLinked="0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Arial Narrow" pitchFamily="34" charset="0"/>
              </a:defRPr>
            </a:pPr>
            <a:endParaRPr lang="es-CO"/>
          </a:p>
        </c:txPr>
        <c:crossAx val="1639772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011947431302601"/>
          <c:y val="0.64969357357938395"/>
          <c:w val="0.24492234169653601"/>
          <c:h val="0.18707244416534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</c:spPr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Consumo Acumulado (Gr.)</a:t>
            </a:r>
          </a:p>
        </c:rich>
      </c:tx>
      <c:layout>
        <c:manualLayout>
          <c:xMode val="edge"/>
          <c:yMode val="edge"/>
          <c:x val="0.17293897402609701"/>
          <c:y val="9.3567251461988299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ln>
          <a:solidFill>
            <a:sysClr val="windowText" lastClr="000000"/>
          </a:solidFill>
        </a:ln>
        <a:effectLst>
          <a:outerShdw blurRad="50800" dist="50800" dir="5400000" algn="ctr" rotWithShape="0">
            <a:schemeClr val="bg1">
              <a:lumMod val="75000"/>
            </a:scheme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09408555113407"/>
          <c:y val="4.87805252413624E-2"/>
          <c:w val="0.86550183915182999"/>
          <c:h val="0.82157142637872504"/>
        </c:manualLayout>
      </c:layout>
      <c:lineChart>
        <c:grouping val="standard"/>
        <c:varyColors val="0"/>
        <c:ser>
          <c:idx val="2"/>
          <c:order val="0"/>
          <c:tx>
            <c:strRef>
              <c:f>'G3'!$AQ$15</c:f>
              <c:strCache>
                <c:ptCount val="1"/>
                <c:pt idx="0">
                  <c:v>Cons Acu Guia</c:v>
                </c:pt>
              </c:strCache>
            </c:strRef>
          </c:tx>
          <c:spPr>
            <a:ln w="69850">
              <a:solidFill>
                <a:schemeClr val="accent3">
                  <a:shade val="95000"/>
                  <a:satMod val="105000"/>
                  <a:alpha val="50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accent3">
                        <a:lumMod val="75000"/>
                      </a:schemeClr>
                    </a:solidFill>
                    <a:latin typeface="Arial Narrow" pitchFamily="34" charset="0"/>
                  </a:defRPr>
                </a:pPr>
                <a:endParaRPr lang="es-CO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'G3'!$AO$16:$AO$23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'G3'!$AQ$16:$AQ$23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701-9989-1C9303A5C458}"/>
            </c:ext>
          </c:extLst>
        </c:ser>
        <c:ser>
          <c:idx val="1"/>
          <c:order val="1"/>
          <c:tx>
            <c:strRef>
              <c:f>'G3'!$AP$15</c:f>
              <c:strCache>
                <c:ptCount val="1"/>
                <c:pt idx="0">
                  <c:v>Cons Acu Real</c:v>
                </c:pt>
              </c:strCache>
            </c:strRef>
          </c:tx>
          <c:spPr>
            <a:ln w="22225">
              <a:solidFill>
                <a:schemeClr val="accent3">
                  <a:lumMod val="75000"/>
                </a:schemeClr>
              </a:solidFill>
            </a:ln>
            <a:effectLst>
              <a:outerShdw blurRad="50800" dist="50800" dir="5400000" algn="ctr" rotWithShape="0">
                <a:schemeClr val="bg1">
                  <a:lumMod val="75000"/>
                </a:schemeClr>
              </a:outerShdw>
            </a:effectLst>
          </c:spPr>
          <c:marker>
            <c:symbol val="circle"/>
            <c:size val="5"/>
            <c:spPr>
              <a:solidFill>
                <a:srgbClr val="C00000"/>
              </a:solidFill>
              <a:ln cap="rnd">
                <a:solidFill>
                  <a:schemeClr val="tx1"/>
                </a:solidFill>
                <a:bevel/>
              </a:ln>
              <a:effectLst>
                <a:outerShdw blurRad="50800" dist="50800" dir="5400000" algn="ctr" rotWithShape="0">
                  <a:schemeClr val="bg1">
                    <a:lumMod val="75000"/>
                  </a:schemeClr>
                </a:outerShdw>
              </a:effectLst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anchor="ctr" anchorCtr="1"/>
              <a:lstStyle/>
              <a:p>
                <a:pPr>
                  <a:defRPr b="1">
                    <a:solidFill>
                      <a:srgbClr val="C00000"/>
                    </a:solidFill>
                    <a:latin typeface="Arial Narrow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'G3'!$AO$16:$AO$23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'G3'!$AP$16:$AP$23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701-9989-1C9303A5C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789248"/>
        <c:axId val="1639791296"/>
      </c:lineChart>
      <c:catAx>
        <c:axId val="163978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1639791296"/>
        <c:crosses val="autoZero"/>
        <c:auto val="1"/>
        <c:lblAlgn val="ctr"/>
        <c:lblOffset val="1"/>
        <c:noMultiLvlLbl val="0"/>
      </c:catAx>
      <c:valAx>
        <c:axId val="16397912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_ ;[Red]\-#,##0\ " sourceLinked="0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Arial Narrow" pitchFamily="34" charset="0"/>
              </a:defRPr>
            </a:pPr>
            <a:endParaRPr lang="es-CO"/>
          </a:p>
        </c:txPr>
        <c:crossAx val="1639789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011947431302701"/>
          <c:y val="0.62106387727927004"/>
          <c:w val="0.24492234169653601"/>
          <c:h val="0.21570215746492299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</c:spPr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4" l="0.70000000000000095" r="0.70000000000000095" t="0.750000000000004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O" sz="1400"/>
              <a:t>Peso Aves (Gr.)</a:t>
            </a:r>
          </a:p>
        </c:rich>
      </c:tx>
      <c:layout>
        <c:manualLayout>
          <c:xMode val="edge"/>
          <c:yMode val="edge"/>
          <c:x val="0.17293897402609701"/>
          <c:y val="9.3567251461988299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ln>
          <a:solidFill>
            <a:sysClr val="windowText" lastClr="000000"/>
          </a:solidFill>
        </a:ln>
        <a:effectLst>
          <a:outerShdw blurRad="50800" dist="50800" dir="5400000" algn="ctr" rotWithShape="0">
            <a:schemeClr val="bg1">
              <a:lumMod val="75000"/>
            </a:scheme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09408555113407"/>
          <c:y val="4.87805252413624E-2"/>
          <c:w val="0.86550183915182999"/>
          <c:h val="0.82157142637872504"/>
        </c:manualLayout>
      </c:layout>
      <c:lineChart>
        <c:grouping val="standard"/>
        <c:varyColors val="0"/>
        <c:ser>
          <c:idx val="2"/>
          <c:order val="0"/>
          <c:tx>
            <c:strRef>
              <c:f>'G3'!$AQ$24</c:f>
              <c:strCache>
                <c:ptCount val="1"/>
                <c:pt idx="0">
                  <c:v>Peso Guia</c:v>
                </c:pt>
              </c:strCache>
            </c:strRef>
          </c:tx>
          <c:spPr>
            <a:ln w="69850">
              <a:solidFill>
                <a:srgbClr val="C00000">
                  <a:alpha val="50000"/>
                </a:srgbClr>
              </a:solidFill>
            </a:ln>
          </c:spPr>
          <c:marker>
            <c:symbol val="triangle"/>
            <c:size val="7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accent3">
                        <a:lumMod val="75000"/>
                      </a:schemeClr>
                    </a:solidFill>
                    <a:latin typeface="Arial Narrow" pitchFamily="34" charset="0"/>
                  </a:defRPr>
                </a:pPr>
                <a:endParaRPr lang="es-CO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'G3'!$AO$25:$AO$32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'G3'!$AQ$25:$AQ$32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2-4F67-BAB5-CF130E330A09}"/>
            </c:ext>
          </c:extLst>
        </c:ser>
        <c:ser>
          <c:idx val="1"/>
          <c:order val="1"/>
          <c:tx>
            <c:strRef>
              <c:f>'G3'!$AP$24</c:f>
              <c:strCache>
                <c:ptCount val="1"/>
                <c:pt idx="0">
                  <c:v>Peso Real</c:v>
                </c:pt>
              </c:strCache>
            </c:strRef>
          </c:tx>
          <c:spPr>
            <a:ln w="25400">
              <a:solidFill>
                <a:srgbClr val="C00000"/>
              </a:solidFill>
            </a:ln>
            <a:effectLst>
              <a:outerShdw blurRad="50800" dist="50800" dir="5400000" algn="ctr" rotWithShape="0">
                <a:schemeClr val="bg1">
                  <a:lumMod val="75000"/>
                </a:schemeClr>
              </a:outerShdw>
            </a:effectLst>
          </c:spPr>
          <c:marker>
            <c:symbol val="circle"/>
            <c:size val="5"/>
            <c:spPr>
              <a:solidFill>
                <a:srgbClr val="00B0F0"/>
              </a:solidFill>
              <a:ln cap="rnd">
                <a:solidFill>
                  <a:schemeClr val="tx1"/>
                </a:solidFill>
                <a:bevel/>
              </a:ln>
              <a:effectLst>
                <a:outerShdw blurRad="50800" dist="50800" dir="5400000" algn="ctr" rotWithShape="0">
                  <a:schemeClr val="bg1">
                    <a:lumMod val="75000"/>
                  </a:schemeClr>
                </a:outerShdw>
              </a:effectLst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C00000"/>
                    </a:solidFill>
                    <a:latin typeface="Arial Narrow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'G3'!$AO$25:$AO$32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('G3'!$AK$8,'G3'!$AK$15,'G3'!$AK$22,'G3'!$AK$29,'G3'!$AK$36,'G3'!$AK$43,'G3'!$AK$50,'G3'!$AK$57)</c:f>
              <c:numCache>
                <c:formatCode>#,##0.0_ ;[Red]\-#,##0.0\ </c:formatCode>
                <c:ptCount val="8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AE2-4F67-BAB5-CF130E330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5387120"/>
        <c:axId val="1576868912"/>
      </c:lineChart>
      <c:catAx>
        <c:axId val="160538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1576868912"/>
        <c:crosses val="autoZero"/>
        <c:auto val="1"/>
        <c:lblAlgn val="ctr"/>
        <c:lblOffset val="1"/>
        <c:noMultiLvlLbl val="0"/>
      </c:catAx>
      <c:valAx>
        <c:axId val="15768689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_ ;[Red]\-#,##0\ " sourceLinked="0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Arial Narrow" pitchFamily="34" charset="0"/>
              </a:defRPr>
            </a:pPr>
            <a:endParaRPr lang="es-CO"/>
          </a:p>
        </c:txPr>
        <c:crossAx val="1605387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011947431302701"/>
          <c:y val="0.62106387727927004"/>
          <c:w val="0.24492234169653701"/>
          <c:h val="0.21570215746492299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</c:spPr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4" l="0.70000000000000095" r="0.70000000000000095" t="0.750000000000004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Parámetros Zootécnicos</a:t>
            </a:r>
          </a:p>
        </c:rich>
      </c:tx>
      <c:layout>
        <c:manualLayout>
          <c:xMode val="edge"/>
          <c:yMode val="edge"/>
          <c:x val="0.25896047940244299"/>
          <c:y val="2.49397869383974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ln>
          <a:solidFill>
            <a:sysClr val="windowText" lastClr="000000"/>
          </a:solidFill>
        </a:ln>
        <a:effectLst>
          <a:outerShdw blurRad="50800" dist="50800" dir="5400000" algn="ctr" rotWithShape="0">
            <a:schemeClr val="bg1">
              <a:lumMod val="75000"/>
            </a:scheme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9.0254518636157494E-2"/>
          <c:y val="4.87805252413624E-2"/>
          <c:w val="0.88465596076892095"/>
          <c:h val="0.86146785116036795"/>
        </c:manualLayout>
      </c:layout>
      <c:lineChart>
        <c:grouping val="standard"/>
        <c:varyColors val="0"/>
        <c:ser>
          <c:idx val="2"/>
          <c:order val="0"/>
          <c:tx>
            <c:strRef>
              <c:f>'G3'!$AQ$42</c:f>
              <c:strCache>
                <c:ptCount val="1"/>
                <c:pt idx="0">
                  <c:v>IP Guia</c:v>
                </c:pt>
              </c:strCache>
            </c:strRef>
          </c:tx>
          <c:spPr>
            <a:ln w="69850">
              <a:solidFill>
                <a:srgbClr val="0070C0">
                  <a:alpha val="50000"/>
                </a:srgbClr>
              </a:solidFill>
            </a:ln>
          </c:spPr>
          <c:marker>
            <c:symbol val="triangle"/>
            <c:size val="6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'G3'!$AO$34:$AO$41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'G3'!$AQ$43:$AQ$50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85A-4036-BFE7-D9AEFD6666E2}"/>
            </c:ext>
          </c:extLst>
        </c:ser>
        <c:ser>
          <c:idx val="1"/>
          <c:order val="1"/>
          <c:tx>
            <c:strRef>
              <c:f>'G3'!$AP$42</c:f>
              <c:strCache>
                <c:ptCount val="1"/>
                <c:pt idx="0">
                  <c:v>IP Real</c:v>
                </c:pt>
              </c:strCache>
            </c:strRef>
          </c:tx>
          <c:spPr>
            <a:ln w="22225">
              <a:solidFill>
                <a:srgbClr val="002060"/>
              </a:solidFill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dLbls>
            <c:spPr>
              <a:solidFill>
                <a:srgbClr val="FFFF00">
                  <a:alpha val="60000"/>
                </a:srgbClr>
              </a:solidFill>
            </c:spPr>
            <c:txPr>
              <a:bodyPr/>
              <a:lstStyle/>
              <a:p>
                <a:pPr>
                  <a:defRPr b="1">
                    <a:solidFill>
                      <a:srgbClr val="C00000"/>
                    </a:solidFill>
                    <a:latin typeface="Arial Narrow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'G3'!$AO$34:$AO$41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'G3'!$AP$43:$AP$50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85A-4036-BFE7-D9AEFD666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361520"/>
        <c:axId val="1605370960"/>
      </c:lineChart>
      <c:catAx>
        <c:axId val="160636152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1605370960"/>
        <c:crosses val="autoZero"/>
        <c:auto val="1"/>
        <c:lblAlgn val="ctr"/>
        <c:lblOffset val="1"/>
        <c:noMultiLvlLbl val="0"/>
      </c:catAx>
      <c:valAx>
        <c:axId val="160537096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[Red]\-#,##0\ " sourceLinked="0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Arial Narrow" pitchFamily="34" charset="0"/>
              </a:defRPr>
            </a:pPr>
            <a:endParaRPr lang="es-CO"/>
          </a:p>
        </c:txPr>
        <c:crossAx val="1606361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620071684587801"/>
          <c:y val="0.17008337193145001"/>
          <c:w val="0.21320200566327099"/>
          <c:h val="0.24003624547935001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</c:spPr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4" l="0.70000000000000095" r="0.70000000000000095" t="0.750000000000004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es-CO" sz="1200" b="0"/>
              <a:t>% Cumplimiento</a:t>
            </a:r>
          </a:p>
        </c:rich>
      </c:tx>
      <c:layout>
        <c:manualLayout>
          <c:xMode val="edge"/>
          <c:yMode val="edge"/>
          <c:x val="0.718566929133858"/>
          <c:y val="1.683489228276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effectLst>
          <a:outerShdw blurRad="50800" dist="50800" dir="5400000" algn="ctr" rotWithShape="0">
            <a:schemeClr val="bg1">
              <a:lumMod val="85000"/>
            </a:schemeClr>
          </a:outerShdw>
        </a:effectLst>
        <a:scene3d>
          <a:camera prst="orthographicFront"/>
          <a:lightRig rig="threePt" dir="t"/>
        </a:scene3d>
        <a:sp3d prstMaterial="dkEdge">
          <a:bevelT/>
        </a:sp3d>
      </c:spPr>
    </c:title>
    <c:autoTitleDeleted val="0"/>
    <c:plotArea>
      <c:layout>
        <c:manualLayout>
          <c:layoutTarget val="inner"/>
          <c:xMode val="edge"/>
          <c:yMode val="edge"/>
          <c:x val="9.3817516231523707E-2"/>
          <c:y val="2.42172379967657E-2"/>
          <c:w val="0.87548072938251098"/>
          <c:h val="0.93840054084148505"/>
        </c:manualLayout>
      </c:layout>
      <c:lineChart>
        <c:grouping val="standard"/>
        <c:varyColors val="0"/>
        <c:ser>
          <c:idx val="1"/>
          <c:order val="0"/>
          <c:tx>
            <c:v>% Cump IP</c:v>
          </c:tx>
          <c:spPr>
            <a:ln w="38100"/>
          </c:spPr>
          <c:marker>
            <c:symbol val="square"/>
            <c:size val="5"/>
          </c:marker>
          <c:dLbls>
            <c:spPr>
              <a:ln>
                <a:solidFill>
                  <a:srgbClr val="C00000"/>
                </a:solidFill>
              </a:ln>
            </c:spPr>
            <c:txPr>
              <a:bodyPr/>
              <a:lstStyle/>
              <a:p>
                <a:pPr>
                  <a:defRPr b="0">
                    <a:latin typeface="Arial Narrow" pitchFamily="34" charset="0"/>
                  </a:defRPr>
                </a:pPr>
                <a:endParaRPr lang="es-CO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'G3'!$AO$43:$AO$50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'G3'!$AR$43:$AR$50</c:f>
              <c:numCache>
                <c:formatCode>[Blue]\+?0.0_ ;[Red]\-\ ?0.0\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348-4F3C-8062-26C79ACE5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277584"/>
        <c:axId val="1639251008"/>
      </c:lineChart>
      <c:catAx>
        <c:axId val="163927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es-CO"/>
          </a:p>
        </c:txPr>
        <c:crossAx val="1639251008"/>
        <c:crosses val="autoZero"/>
        <c:auto val="1"/>
        <c:lblAlgn val="ctr"/>
        <c:lblOffset val="1"/>
        <c:noMultiLvlLbl val="0"/>
      </c:catAx>
      <c:valAx>
        <c:axId val="1639251008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[Blue]\+?0.0_ ;[Red]\-\ ?0.0\ " sourceLinked="1"/>
        <c:majorTickMark val="out"/>
        <c:minorTickMark val="none"/>
        <c:tickLblPos val="nextTo"/>
        <c:spPr>
          <a:ln w="31750">
            <a:solidFill>
              <a:srgbClr val="C00000"/>
            </a:solidFill>
          </a:ln>
        </c:spPr>
        <c:txPr>
          <a:bodyPr/>
          <a:lstStyle/>
          <a:p>
            <a:pPr>
              <a:defRPr sz="11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39277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604583080961005"/>
          <c:y val="0.90059504306928095"/>
          <c:w val="0.26115546133656398"/>
          <c:h val="7.5745645430684794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1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4" l="0.70000000000000095" r="0.70000000000000095" t="0.750000000000004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Parámetros Zootécnicos</a:t>
            </a:r>
          </a:p>
        </c:rich>
      </c:tx>
      <c:layout>
        <c:manualLayout>
          <c:xMode val="edge"/>
          <c:yMode val="edge"/>
          <c:x val="0.25896047940244299"/>
          <c:y val="2.49397869383974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ln>
          <a:solidFill>
            <a:sysClr val="windowText" lastClr="000000"/>
          </a:solidFill>
        </a:ln>
        <a:effectLst>
          <a:outerShdw blurRad="50800" dist="50800" dir="5400000" algn="ctr" rotWithShape="0">
            <a:schemeClr val="bg1">
              <a:lumMod val="75000"/>
            </a:scheme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8.7860264544339498E-2"/>
          <c:y val="4.87805252413624E-2"/>
          <c:w val="0.88705021486073898"/>
          <c:h val="0.85979104286845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'G3'!$AQ$33</c:f>
              <c:strCache>
                <c:ptCount val="1"/>
                <c:pt idx="0">
                  <c:v>Ef. Am. Guia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scene3d>
              <a:camera prst="orthographicFront"/>
              <a:lightRig rig="threePt" dir="t"/>
            </a:scene3d>
            <a:sp3d prstMaterial="dkEdge"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1">
                    <a:latin typeface="Arial Narrow" pitchFamily="34" charset="0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'G3'!$AO$34:$AO$41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'G3'!$AQ$34:$AQ$41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25-4397-A840-3A9D3FFE164B}"/>
            </c:ext>
          </c:extLst>
        </c:ser>
        <c:ser>
          <c:idx val="3"/>
          <c:order val="1"/>
          <c:tx>
            <c:strRef>
              <c:f>'G3'!$AP$33</c:f>
              <c:strCache>
                <c:ptCount val="1"/>
                <c:pt idx="0">
                  <c:v>Ef. Am. Real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scene3d>
              <a:camera prst="orthographicFront"/>
              <a:lightRig rig="threePt" dir="t"/>
            </a:scene3d>
            <a:sp3d prstMaterial="dkEdge"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1">
                    <a:latin typeface="Arial Narrow" pitchFamily="34" charset="0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'G3'!$AO$34:$AO$41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'G3'!$AP$34:$AP$41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25-4397-A840-3A9D3FFE1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-6"/>
        <c:axId val="1639128240"/>
        <c:axId val="1639130288"/>
      </c:barChart>
      <c:catAx>
        <c:axId val="163912824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1639130288"/>
        <c:crosses val="autoZero"/>
        <c:auto val="1"/>
        <c:lblAlgn val="ctr"/>
        <c:lblOffset val="1"/>
        <c:noMultiLvlLbl val="0"/>
      </c:catAx>
      <c:valAx>
        <c:axId val="16391302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[Red]\-#,##0\ " sourceLinked="0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Arial Narrow" pitchFamily="34" charset="0"/>
              </a:defRPr>
            </a:pPr>
            <a:endParaRPr lang="es-CO"/>
          </a:p>
        </c:txPr>
        <c:crossAx val="1639128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620071684587801"/>
          <c:y val="0.17008337193145001"/>
          <c:w val="0.21320200566327099"/>
          <c:h val="0.24003624547935001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</c:spPr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4" l="0.70000000000000095" r="0.70000000000000095" t="0.750000000000004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es-CO" sz="1200" b="0"/>
              <a:t>% Cumplimiento</a:t>
            </a:r>
          </a:p>
        </c:rich>
      </c:tx>
      <c:layout>
        <c:manualLayout>
          <c:xMode val="edge"/>
          <c:yMode val="edge"/>
          <c:x val="0.17534506676856301"/>
          <c:y val="4.9228322561854602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effectLst>
          <a:outerShdw blurRad="50800" dist="50800" dir="5400000" algn="ctr" rotWithShape="0">
            <a:schemeClr val="bg1">
              <a:lumMod val="85000"/>
            </a:schemeClr>
          </a:outerShdw>
        </a:effectLst>
        <a:scene3d>
          <a:camera prst="orthographicFront"/>
          <a:lightRig rig="threePt" dir="t"/>
        </a:scene3d>
        <a:sp3d prstMaterial="dkEdge">
          <a:bevelT/>
        </a:sp3d>
      </c:spPr>
    </c:title>
    <c:autoTitleDeleted val="0"/>
    <c:plotArea>
      <c:layout>
        <c:manualLayout>
          <c:layoutTarget val="inner"/>
          <c:xMode val="edge"/>
          <c:yMode val="edge"/>
          <c:x val="8.9856064504898095E-2"/>
          <c:y val="3.1547963595106802E-2"/>
          <c:w val="0.91014393549510197"/>
          <c:h val="0.92957061438797095"/>
        </c:manualLayout>
      </c:layout>
      <c:lineChart>
        <c:grouping val="standard"/>
        <c:varyColors val="0"/>
        <c:ser>
          <c:idx val="4"/>
          <c:order val="0"/>
          <c:tx>
            <c:v>% Gan Peso G2</c:v>
          </c:tx>
          <c:spPr>
            <a:ln w="19050">
              <a:solidFill>
                <a:srgbClr val="C00000"/>
              </a:solidFill>
              <a:prstDash val="lgDash"/>
            </a:ln>
          </c:spPr>
          <c:cat>
            <c:numRef>
              <c:f>Con!$AO$8:$AO$15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('G3'!$AM$9,'G3'!$AM$16,'G3'!$AM$23,'G3'!$AM$30,'G3'!$AM$37,'G3'!$AM$44,'G3'!$AM$51,'G3'!$AM$58)</c:f>
              <c:numCache>
                <c:formatCode>[Blue]\+?0.0_ ;[Red]\-\ ?0.0\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7D5-4CA9-9426-55D247480BD8}"/>
            </c:ext>
          </c:extLst>
        </c:ser>
        <c:ser>
          <c:idx val="2"/>
          <c:order val="1"/>
          <c:tx>
            <c:v>% Cons Sem G2</c:v>
          </c:tx>
          <c:spPr>
            <a:ln w="19050">
              <a:solidFill>
                <a:srgbClr val="00B050"/>
              </a:solidFill>
              <a:prstDash val="lgDash"/>
            </a:ln>
          </c:spPr>
          <c:cat>
            <c:numRef>
              <c:f>Con!$AO$8:$AO$15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'G3'!$AR$7:$AR$14</c:f>
              <c:numCache>
                <c:formatCode>[Blue]\+?0.0_ ;[Red]\-\ ?0.0\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7D5-4CA9-9426-55D247480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843968"/>
        <c:axId val="1639846288"/>
      </c:lineChart>
      <c:catAx>
        <c:axId val="163984396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600" b="1"/>
            </a:pPr>
            <a:endParaRPr lang="es-CO"/>
          </a:p>
        </c:txPr>
        <c:crossAx val="1639846288"/>
        <c:crosses val="autoZero"/>
        <c:auto val="1"/>
        <c:lblAlgn val="ctr"/>
        <c:lblOffset val="1"/>
        <c:noMultiLvlLbl val="0"/>
      </c:catAx>
      <c:valAx>
        <c:axId val="1639846288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[Blue]\+?0.0_ ;[Red]\-\ ?0.0\ " sourceLinked="1"/>
        <c:majorTickMark val="out"/>
        <c:minorTickMark val="none"/>
        <c:tickLblPos val="nextTo"/>
        <c:spPr>
          <a:ln w="31750">
            <a:solidFill>
              <a:srgbClr val="C00000"/>
            </a:solidFill>
          </a:ln>
        </c:spPr>
        <c:txPr>
          <a:bodyPr/>
          <a:lstStyle/>
          <a:p>
            <a:pPr>
              <a:defRPr sz="1100" b="0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1639843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849715660542401"/>
          <c:y val="0.87123177311169397"/>
          <c:w val="0.582656650677286"/>
          <c:h val="0.109484543598717"/>
        </c:manualLayout>
      </c:layout>
      <c:overlay val="0"/>
      <c:spPr>
        <a:solidFill>
          <a:schemeClr val="accent6">
            <a:lumMod val="40000"/>
            <a:lumOff val="60000"/>
            <a:alpha val="60000"/>
          </a:schemeClr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1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es-CO" sz="1200" b="0"/>
              <a:t>% Cumplimiento</a:t>
            </a:r>
          </a:p>
        </c:rich>
      </c:tx>
      <c:layout>
        <c:manualLayout>
          <c:xMode val="edge"/>
          <c:yMode val="edge"/>
          <c:x val="0.121782180618902"/>
          <c:y val="5.3277490943971197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effectLst>
          <a:outerShdw blurRad="50800" dist="50800" dir="5400000" algn="ctr" rotWithShape="0">
            <a:schemeClr val="bg1">
              <a:lumMod val="85000"/>
            </a:schemeClr>
          </a:outerShdw>
        </a:effectLst>
        <a:scene3d>
          <a:camera prst="orthographicFront"/>
          <a:lightRig rig="threePt" dir="t"/>
        </a:scene3d>
        <a:sp3d prstMaterial="dkEdge">
          <a:bevelT/>
        </a:sp3d>
      </c:spPr>
    </c:title>
    <c:autoTitleDeleted val="0"/>
    <c:plotArea>
      <c:layout>
        <c:manualLayout>
          <c:layoutTarget val="inner"/>
          <c:xMode val="edge"/>
          <c:yMode val="edge"/>
          <c:x val="9.7890497427347095E-2"/>
          <c:y val="3.1547963595106802E-2"/>
          <c:w val="0.90210950257265299"/>
          <c:h val="0.92957061438797095"/>
        </c:manualLayout>
      </c:layout>
      <c:lineChart>
        <c:grouping val="standard"/>
        <c:varyColors val="0"/>
        <c:ser>
          <c:idx val="5"/>
          <c:order val="0"/>
          <c:tx>
            <c:v>% Peso G2</c:v>
          </c:tx>
          <c:spPr>
            <a:ln w="19050">
              <a:solidFill>
                <a:srgbClr val="C00000"/>
              </a:solidFill>
              <a:prstDash val="sysDash"/>
            </a:ln>
          </c:spPr>
          <c:cat>
            <c:numRef>
              <c:f>Con!$AO$8:$AO$15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'G3'!$AR$25:$AR$32</c:f>
              <c:numCache>
                <c:formatCode>[Blue]\+?0.0_ ;[Red]\-\ ?0.0\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A21-4667-92AE-3B7696CBFC94}"/>
            </c:ext>
          </c:extLst>
        </c:ser>
        <c:ser>
          <c:idx val="3"/>
          <c:order val="1"/>
          <c:tx>
            <c:v>% Con Ac G2</c:v>
          </c:tx>
          <c:spPr>
            <a:ln w="19050">
              <a:solidFill>
                <a:srgbClr val="00B050"/>
              </a:solidFill>
              <a:prstDash val="sysDash"/>
            </a:ln>
          </c:spPr>
          <c:cat>
            <c:numRef>
              <c:f>Con!$AO$8:$AO$15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'G3'!$AR$16:$AR$23</c:f>
              <c:numCache>
                <c:formatCode>[Blue]\+?0.0_ ;[Red]\-\ ?0.0\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A21-4667-92AE-3B7696CBF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410448"/>
        <c:axId val="1639412768"/>
      </c:lineChart>
      <c:catAx>
        <c:axId val="163941044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600" b="1"/>
            </a:pPr>
            <a:endParaRPr lang="es-CO"/>
          </a:p>
        </c:txPr>
        <c:crossAx val="1639412768"/>
        <c:crosses val="autoZero"/>
        <c:auto val="1"/>
        <c:lblAlgn val="ctr"/>
        <c:lblOffset val="1"/>
        <c:noMultiLvlLbl val="0"/>
      </c:catAx>
      <c:valAx>
        <c:axId val="1639412768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[Blue]\+?0.0_ ;[Red]\-\ ?0.0\ " sourceLinked="0"/>
        <c:majorTickMark val="out"/>
        <c:minorTickMark val="none"/>
        <c:tickLblPos val="nextTo"/>
        <c:spPr>
          <a:ln w="31750">
            <a:solidFill>
              <a:srgbClr val="C00000"/>
            </a:solidFill>
          </a:ln>
        </c:spPr>
        <c:txPr>
          <a:bodyPr/>
          <a:lstStyle/>
          <a:p>
            <a:pPr>
              <a:defRPr sz="1200" b="0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1639410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154083475367042"/>
          <c:y val="0.89424559757526045"/>
          <c:w val="0.58076208263975293"/>
          <c:h val="8.6470883181599845E-2"/>
        </c:manualLayout>
      </c:layout>
      <c:overlay val="0"/>
      <c:spPr>
        <a:solidFill>
          <a:schemeClr val="accent6">
            <a:lumMod val="40000"/>
            <a:lumOff val="60000"/>
            <a:alpha val="60000"/>
          </a:schemeClr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200" b="0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es-CO" sz="1200" b="0"/>
              <a:t>% Cumplimiento</a:t>
            </a:r>
          </a:p>
        </c:rich>
      </c:tx>
      <c:layout>
        <c:manualLayout>
          <c:xMode val="edge"/>
          <c:yMode val="edge"/>
          <c:x val="0.726259236826166"/>
          <c:y val="1.683489228276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effectLst>
          <a:outerShdw blurRad="50800" dist="50800" dir="5400000" algn="ctr" rotWithShape="0">
            <a:schemeClr val="bg1">
              <a:lumMod val="85000"/>
            </a:schemeClr>
          </a:outerShdw>
        </a:effectLst>
        <a:scene3d>
          <a:camera prst="orthographicFront"/>
          <a:lightRig rig="threePt" dir="t"/>
        </a:scene3d>
        <a:sp3d prstMaterial="dkEdge">
          <a:bevelT/>
        </a:sp3d>
      </c:spPr>
    </c:title>
    <c:autoTitleDeleted val="0"/>
    <c:plotArea>
      <c:layout>
        <c:manualLayout>
          <c:layoutTarget val="inner"/>
          <c:xMode val="edge"/>
          <c:yMode val="edge"/>
          <c:x val="9.3817516231523707E-2"/>
          <c:y val="2.42172379967657E-2"/>
          <c:w val="0.87548072938251098"/>
          <c:h val="0.93840054084148505"/>
        </c:manualLayout>
      </c:layout>
      <c:lineChart>
        <c:grouping val="standard"/>
        <c:varyColors val="0"/>
        <c:ser>
          <c:idx val="0"/>
          <c:order val="0"/>
          <c:tx>
            <c:v>% Cump Efic</c:v>
          </c:tx>
          <c:spPr>
            <a:ln w="38100"/>
          </c:spPr>
          <c:marker>
            <c:symbol val="diamond"/>
            <c:size val="5"/>
          </c:marker>
          <c:dLbls>
            <c:spPr>
              <a:ln>
                <a:solidFill>
                  <a:srgbClr val="0070C0"/>
                </a:solidFill>
              </a:ln>
            </c:spPr>
            <c:txPr>
              <a:bodyPr/>
              <a:lstStyle/>
              <a:p>
                <a:pPr>
                  <a:defRPr>
                    <a:latin typeface="Arial Narrow" pitchFamily="34" charset="0"/>
                  </a:defRPr>
                </a:pPr>
                <a:endParaRPr lang="es-CO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'G3'!$AO$43:$AO$50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'G3'!$AR$34:$AR$41</c:f>
              <c:numCache>
                <c:formatCode>[Blue]\+?0.0_ ;[Red]\-\ ?0.0\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376-412D-B6EF-454F6A648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6250992"/>
        <c:axId val="1576290048"/>
      </c:lineChart>
      <c:catAx>
        <c:axId val="157625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es-CO"/>
          </a:p>
        </c:txPr>
        <c:crossAx val="1576290048"/>
        <c:crosses val="autoZero"/>
        <c:auto val="1"/>
        <c:lblAlgn val="ctr"/>
        <c:lblOffset val="1"/>
        <c:noMultiLvlLbl val="0"/>
      </c:catAx>
      <c:valAx>
        <c:axId val="1576290048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[Blue]\+?0.0_ ;[Red]\-\ ?0.0\ " sourceLinked="1"/>
        <c:majorTickMark val="out"/>
        <c:minorTickMark val="none"/>
        <c:tickLblPos val="nextTo"/>
        <c:spPr>
          <a:ln w="31750">
            <a:solidFill>
              <a:srgbClr val="C00000"/>
            </a:solidFill>
          </a:ln>
        </c:spPr>
        <c:txPr>
          <a:bodyPr/>
          <a:lstStyle/>
          <a:p>
            <a:pPr>
              <a:defRPr sz="11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57625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322531798909805"/>
          <c:y val="0.90059504306928095"/>
          <c:w val="0.27654007672117897"/>
          <c:h val="7.5745645430684794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1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4" l="0.70000000000000095" r="0.70000000000000095" t="0.750000000000004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Peso Aves (Gr.)</a:t>
            </a:r>
          </a:p>
        </c:rich>
      </c:tx>
      <c:layout>
        <c:manualLayout>
          <c:xMode val="edge"/>
          <c:yMode val="edge"/>
          <c:x val="0.17293897402609701"/>
          <c:y val="9.3567251461988299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ln>
          <a:solidFill>
            <a:sysClr val="windowText" lastClr="000000"/>
          </a:solidFill>
        </a:ln>
        <a:effectLst>
          <a:outerShdw blurRad="50800" dist="50800" dir="5400000" algn="ctr" rotWithShape="0">
            <a:schemeClr val="bg1">
              <a:lumMod val="75000"/>
            </a:scheme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09408555113407"/>
          <c:y val="4.87805252413624E-2"/>
          <c:w val="0.86550183915182999"/>
          <c:h val="0.82157142637872504"/>
        </c:manualLayout>
      </c:layout>
      <c:lineChart>
        <c:grouping val="standard"/>
        <c:varyColors val="0"/>
        <c:ser>
          <c:idx val="2"/>
          <c:order val="0"/>
          <c:tx>
            <c:strRef>
              <c:f>'G1'!$AQ$24</c:f>
              <c:strCache>
                <c:ptCount val="1"/>
                <c:pt idx="0">
                  <c:v>Peso Guia</c:v>
                </c:pt>
              </c:strCache>
            </c:strRef>
          </c:tx>
          <c:spPr>
            <a:ln w="66675">
              <a:solidFill>
                <a:srgbClr val="C00000">
                  <a:alpha val="50000"/>
                </a:srgbClr>
              </a:solidFill>
            </a:ln>
          </c:spPr>
          <c:marker>
            <c:symbol val="triangle"/>
            <c:size val="6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accent3">
                        <a:lumMod val="75000"/>
                      </a:schemeClr>
                    </a:solidFill>
                    <a:latin typeface="Arial Narrow" pitchFamily="34" charset="0"/>
                  </a:defRPr>
                </a:pPr>
                <a:endParaRPr lang="es-CO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'G1'!$AO$25:$AO$32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'G1'!$AQ$25:$AQ$32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5-4848-8958-22EBD2536C1A}"/>
            </c:ext>
          </c:extLst>
        </c:ser>
        <c:ser>
          <c:idx val="1"/>
          <c:order val="1"/>
          <c:tx>
            <c:strRef>
              <c:f>'G1'!$AP$24</c:f>
              <c:strCache>
                <c:ptCount val="1"/>
                <c:pt idx="0">
                  <c:v>Peso Real</c:v>
                </c:pt>
              </c:strCache>
            </c:strRef>
          </c:tx>
          <c:spPr>
            <a:ln w="25400">
              <a:solidFill>
                <a:srgbClr val="C00000"/>
              </a:solidFill>
            </a:ln>
            <a:effectLst>
              <a:outerShdw blurRad="50800" dist="50800" dir="5400000" algn="ctr" rotWithShape="0">
                <a:schemeClr val="bg1">
                  <a:lumMod val="75000"/>
                </a:schemeClr>
              </a:outerShdw>
            </a:effectLst>
          </c:spPr>
          <c:marker>
            <c:symbol val="circle"/>
            <c:size val="5"/>
            <c:spPr>
              <a:solidFill>
                <a:srgbClr val="0070C0"/>
              </a:solidFill>
              <a:ln cap="rnd">
                <a:solidFill>
                  <a:schemeClr val="tx1"/>
                </a:solidFill>
                <a:bevel/>
              </a:ln>
              <a:effectLst>
                <a:outerShdw blurRad="50800" dist="50800" dir="5400000" algn="ctr" rotWithShape="0">
                  <a:schemeClr val="bg1">
                    <a:lumMod val="75000"/>
                  </a:schemeClr>
                </a:outerShdw>
              </a:effectLst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C00000"/>
                    </a:solidFill>
                    <a:latin typeface="Arial Narrow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'G1'!$AO$25:$AO$32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('G1'!$AK$8,'G1'!$AK$15,'G1'!$AK$22,'G1'!$AK$29,'G1'!$AK$36,'G1'!$AK$43,'G1'!$AK$50,'G1'!$AK$57)</c:f>
              <c:numCache>
                <c:formatCode>#,##0.0_ ;[Red]\-#,##0.0\ </c:formatCode>
                <c:ptCount val="8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DA5-4848-8958-22EBD2536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9523920"/>
        <c:axId val="1609525968"/>
      </c:lineChart>
      <c:catAx>
        <c:axId val="160952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1609525968"/>
        <c:crosses val="autoZero"/>
        <c:auto val="1"/>
        <c:lblAlgn val="ctr"/>
        <c:lblOffset val="1"/>
        <c:noMultiLvlLbl val="0"/>
      </c:catAx>
      <c:valAx>
        <c:axId val="16095259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_ ;[Red]\-#,##0\ " sourceLinked="0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Arial Narrow" pitchFamily="34" charset="0"/>
              </a:defRPr>
            </a:pPr>
            <a:endParaRPr lang="es-CO"/>
          </a:p>
        </c:txPr>
        <c:crossAx val="1609523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011947431302701"/>
          <c:y val="0.62106387727927004"/>
          <c:w val="0.24492234169653601"/>
          <c:h val="0.21570215746492299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</c:spPr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4" l="0.70000000000000095" r="0.70000000000000095" t="0.750000000000004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849944758193906E-2"/>
          <c:y val="0.13964044775373499"/>
          <c:w val="0.91139903156527802"/>
          <c:h val="0.766866223577033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'G3'!$BA$36</c:f>
              <c:strCache>
                <c:ptCount val="1"/>
                <c:pt idx="0">
                  <c:v>Biomasa Real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'G3'!$AZ$37:$AZ$44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'G3'!$BA$37:$BA$44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7-4756-A0DE-D90982BF656C}"/>
            </c:ext>
          </c:extLst>
        </c:ser>
        <c:ser>
          <c:idx val="2"/>
          <c:order val="1"/>
          <c:tx>
            <c:strRef>
              <c:f>'G3'!$BB$36</c:f>
              <c:strCache>
                <c:ptCount val="1"/>
                <c:pt idx="0">
                  <c:v>Biomasa Guía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'G3'!$AZ$37:$AZ$44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'G3'!$BB$37:$BB$44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27-4756-A0DE-D90982BF6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overlap val="-16"/>
        <c:axId val="1639545264"/>
        <c:axId val="1639547312"/>
      </c:barChart>
      <c:catAx>
        <c:axId val="163954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1639547312"/>
        <c:crosses val="autoZero"/>
        <c:auto val="1"/>
        <c:lblAlgn val="ctr"/>
        <c:lblOffset val="1"/>
        <c:noMultiLvlLbl val="0"/>
      </c:catAx>
      <c:valAx>
        <c:axId val="16395473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.0_ ;[Red]\-#,##0.0\ 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 Narrow" pitchFamily="34" charset="0"/>
              </a:defRPr>
            </a:pPr>
            <a:endParaRPr lang="es-CO"/>
          </a:p>
        </c:txPr>
        <c:crossAx val="16395452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935313330232906"/>
          <c:y val="2.0833333333333332E-2"/>
          <c:w val="0.48258340416205614"/>
          <c:h val="0.10132340879265092"/>
        </c:manualLayout>
      </c:layout>
      <c:overlay val="0"/>
      <c:spPr>
        <a:solidFill>
          <a:sysClr val="window" lastClr="FFFFFF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c:spPr>
      <c:txPr>
        <a:bodyPr/>
        <a:lstStyle/>
        <a:p>
          <a:pPr>
            <a:defRPr sz="1200">
              <a:latin typeface="Arial Narrow" pitchFamily="34" charset="0"/>
            </a:defRPr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Consumo Semanal (Gr.)</a:t>
            </a:r>
          </a:p>
        </c:rich>
      </c:tx>
      <c:layout>
        <c:manualLayout>
          <c:xMode val="edge"/>
          <c:yMode val="edge"/>
          <c:x val="0.17293897402609701"/>
          <c:y val="9.3567251461988299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ln>
          <a:solidFill>
            <a:sysClr val="windowText" lastClr="000000"/>
          </a:solidFill>
        </a:ln>
        <a:effectLst>
          <a:outerShdw blurRad="50800" dist="50800" dir="5400000" algn="ctr" rotWithShape="0">
            <a:schemeClr val="bg1">
              <a:lumMod val="75000"/>
            </a:scheme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09408555113407"/>
          <c:y val="4.87805252413624E-2"/>
          <c:w val="0.86550183915182999"/>
          <c:h val="0.82157142637872504"/>
        </c:manualLayout>
      </c:layout>
      <c:lineChart>
        <c:grouping val="standard"/>
        <c:varyColors val="0"/>
        <c:ser>
          <c:idx val="2"/>
          <c:order val="0"/>
          <c:tx>
            <c:strRef>
              <c:f>'G4'!$AQ$6</c:f>
              <c:strCache>
                <c:ptCount val="1"/>
                <c:pt idx="0">
                  <c:v>Cons Sem Guia</c:v>
                </c:pt>
              </c:strCache>
            </c:strRef>
          </c:tx>
          <c:spPr>
            <a:ln w="63500">
              <a:solidFill>
                <a:schemeClr val="accent3">
                  <a:shade val="95000"/>
                  <a:satMod val="105000"/>
                  <a:alpha val="50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  <a:latin typeface="Arial Narrow" pitchFamily="34" charset="0"/>
                  </a:defRPr>
                </a:pPr>
                <a:endParaRPr lang="es-CO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'G4'!$AO$7:$AO$14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'G4'!$AQ$7:$AQ$14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D-4A92-BDCF-EC1E8739F836}"/>
            </c:ext>
          </c:extLst>
        </c:ser>
        <c:ser>
          <c:idx val="1"/>
          <c:order val="1"/>
          <c:tx>
            <c:strRef>
              <c:f>'G4'!$AP$6</c:f>
              <c:strCache>
                <c:ptCount val="1"/>
                <c:pt idx="0">
                  <c:v>Cons Sem Real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50800" dir="5400000" algn="ctr" rotWithShape="0">
                <a:schemeClr val="bg1">
                  <a:lumMod val="75000"/>
                </a:schemeClr>
              </a:outerShdw>
            </a:effectLst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  <a:effectLst>
                <a:outerShdw blurRad="50800" dist="50800" dir="5400000" algn="ctr" rotWithShape="0">
                  <a:schemeClr val="bg1">
                    <a:lumMod val="75000"/>
                  </a:schemeClr>
                </a:outerShdw>
              </a:effectLst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C00000"/>
                    </a:solidFill>
                    <a:latin typeface="Arial Narrow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'G4'!$AO$7:$AO$14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'G4'!$AP$7:$AP$14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D-4A92-BDCF-EC1E8739F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772096"/>
        <c:axId val="1639773456"/>
      </c:lineChart>
      <c:catAx>
        <c:axId val="163977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1639773456"/>
        <c:crosses val="autoZero"/>
        <c:auto val="1"/>
        <c:lblAlgn val="ctr"/>
        <c:lblOffset val="1"/>
        <c:noMultiLvlLbl val="0"/>
      </c:catAx>
      <c:valAx>
        <c:axId val="16397734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_ ;[Red]\-#,##0\ " sourceLinked="0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Arial Narrow" pitchFamily="34" charset="0"/>
              </a:defRPr>
            </a:pPr>
            <a:endParaRPr lang="es-CO"/>
          </a:p>
        </c:txPr>
        <c:crossAx val="1639772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011947431302601"/>
          <c:y val="0.64969357357938395"/>
          <c:w val="0.24492234169653601"/>
          <c:h val="0.18707244416534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</c:spPr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Consumo Acumulado (Gr.)</a:t>
            </a:r>
          </a:p>
        </c:rich>
      </c:tx>
      <c:layout>
        <c:manualLayout>
          <c:xMode val="edge"/>
          <c:yMode val="edge"/>
          <c:x val="0.17293897402609701"/>
          <c:y val="9.3567251461988299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ln>
          <a:solidFill>
            <a:sysClr val="windowText" lastClr="000000"/>
          </a:solidFill>
        </a:ln>
        <a:effectLst>
          <a:outerShdw blurRad="50800" dist="50800" dir="5400000" algn="ctr" rotWithShape="0">
            <a:schemeClr val="bg1">
              <a:lumMod val="75000"/>
            </a:scheme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09408555113407"/>
          <c:y val="4.87805252413624E-2"/>
          <c:w val="0.86550183915182999"/>
          <c:h val="0.82157142637872504"/>
        </c:manualLayout>
      </c:layout>
      <c:lineChart>
        <c:grouping val="standard"/>
        <c:varyColors val="0"/>
        <c:ser>
          <c:idx val="2"/>
          <c:order val="0"/>
          <c:tx>
            <c:strRef>
              <c:f>'G4'!$AQ$15</c:f>
              <c:strCache>
                <c:ptCount val="1"/>
                <c:pt idx="0">
                  <c:v>Cons Acu Guia</c:v>
                </c:pt>
              </c:strCache>
            </c:strRef>
          </c:tx>
          <c:spPr>
            <a:ln w="69850">
              <a:solidFill>
                <a:schemeClr val="accent3">
                  <a:shade val="95000"/>
                  <a:satMod val="105000"/>
                  <a:alpha val="50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accent3">
                        <a:lumMod val="75000"/>
                      </a:schemeClr>
                    </a:solidFill>
                    <a:latin typeface="Arial Narrow" pitchFamily="34" charset="0"/>
                  </a:defRPr>
                </a:pPr>
                <a:endParaRPr lang="es-CO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'G4'!$AO$16:$AO$23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'G4'!$AQ$16:$AQ$23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E-41E9-A549-E76DE44FF0E3}"/>
            </c:ext>
          </c:extLst>
        </c:ser>
        <c:ser>
          <c:idx val="1"/>
          <c:order val="1"/>
          <c:tx>
            <c:strRef>
              <c:f>'G4'!$AP$15</c:f>
              <c:strCache>
                <c:ptCount val="1"/>
                <c:pt idx="0">
                  <c:v>Cons Acu Real</c:v>
                </c:pt>
              </c:strCache>
            </c:strRef>
          </c:tx>
          <c:spPr>
            <a:ln w="22225">
              <a:solidFill>
                <a:schemeClr val="accent3">
                  <a:lumMod val="75000"/>
                </a:schemeClr>
              </a:solidFill>
            </a:ln>
            <a:effectLst>
              <a:outerShdw blurRad="50800" dist="50800" dir="5400000" algn="ctr" rotWithShape="0">
                <a:schemeClr val="bg1">
                  <a:lumMod val="75000"/>
                </a:schemeClr>
              </a:outerShdw>
            </a:effectLst>
          </c:spPr>
          <c:marker>
            <c:symbol val="circle"/>
            <c:size val="5"/>
            <c:spPr>
              <a:solidFill>
                <a:srgbClr val="C00000"/>
              </a:solidFill>
              <a:ln cap="rnd">
                <a:solidFill>
                  <a:schemeClr val="tx1"/>
                </a:solidFill>
                <a:bevel/>
              </a:ln>
              <a:effectLst>
                <a:outerShdw blurRad="50800" dist="50800" dir="5400000" algn="ctr" rotWithShape="0">
                  <a:schemeClr val="bg1">
                    <a:lumMod val="75000"/>
                  </a:schemeClr>
                </a:outerShdw>
              </a:effectLst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anchor="ctr" anchorCtr="1"/>
              <a:lstStyle/>
              <a:p>
                <a:pPr>
                  <a:defRPr b="1">
                    <a:solidFill>
                      <a:srgbClr val="C00000"/>
                    </a:solidFill>
                    <a:latin typeface="Arial Narrow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'G4'!$AO$16:$AO$23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'G4'!$AP$16:$AP$23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E-41E9-A549-E76DE44FF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789248"/>
        <c:axId val="1639791296"/>
      </c:lineChart>
      <c:catAx>
        <c:axId val="163978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1639791296"/>
        <c:crosses val="autoZero"/>
        <c:auto val="1"/>
        <c:lblAlgn val="ctr"/>
        <c:lblOffset val="1"/>
        <c:noMultiLvlLbl val="0"/>
      </c:catAx>
      <c:valAx>
        <c:axId val="16397912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_ ;[Red]\-#,##0\ " sourceLinked="0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Arial Narrow" pitchFamily="34" charset="0"/>
              </a:defRPr>
            </a:pPr>
            <a:endParaRPr lang="es-CO"/>
          </a:p>
        </c:txPr>
        <c:crossAx val="1639789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011947431302701"/>
          <c:y val="0.62106387727927004"/>
          <c:w val="0.24492234169653601"/>
          <c:h val="0.21570215746492299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</c:spPr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4" l="0.70000000000000095" r="0.70000000000000095" t="0.750000000000004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O" sz="1400"/>
              <a:t>Peso Aves (Gr.)</a:t>
            </a:r>
          </a:p>
        </c:rich>
      </c:tx>
      <c:layout>
        <c:manualLayout>
          <c:xMode val="edge"/>
          <c:yMode val="edge"/>
          <c:x val="0.17293897402609701"/>
          <c:y val="9.3567251461988299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ln>
          <a:solidFill>
            <a:sysClr val="windowText" lastClr="000000"/>
          </a:solidFill>
        </a:ln>
        <a:effectLst>
          <a:outerShdw blurRad="50800" dist="50800" dir="5400000" algn="ctr" rotWithShape="0">
            <a:schemeClr val="bg1">
              <a:lumMod val="75000"/>
            </a:scheme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09408555113407"/>
          <c:y val="4.87805252413624E-2"/>
          <c:w val="0.86550183915182999"/>
          <c:h val="0.82157142637872504"/>
        </c:manualLayout>
      </c:layout>
      <c:lineChart>
        <c:grouping val="standard"/>
        <c:varyColors val="0"/>
        <c:ser>
          <c:idx val="2"/>
          <c:order val="0"/>
          <c:tx>
            <c:strRef>
              <c:f>'G4'!$AQ$24</c:f>
              <c:strCache>
                <c:ptCount val="1"/>
                <c:pt idx="0">
                  <c:v>Peso Guia</c:v>
                </c:pt>
              </c:strCache>
            </c:strRef>
          </c:tx>
          <c:spPr>
            <a:ln w="69850">
              <a:solidFill>
                <a:srgbClr val="C00000">
                  <a:alpha val="50000"/>
                </a:srgbClr>
              </a:solidFill>
            </a:ln>
          </c:spPr>
          <c:marker>
            <c:symbol val="triangle"/>
            <c:size val="7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accent3">
                        <a:lumMod val="75000"/>
                      </a:schemeClr>
                    </a:solidFill>
                    <a:latin typeface="Arial Narrow" pitchFamily="34" charset="0"/>
                  </a:defRPr>
                </a:pPr>
                <a:endParaRPr lang="es-CO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'G4'!$AO$25:$AO$32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'G4'!$AQ$25:$AQ$32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0-49FB-B069-C1A94027D9CE}"/>
            </c:ext>
          </c:extLst>
        </c:ser>
        <c:ser>
          <c:idx val="1"/>
          <c:order val="1"/>
          <c:tx>
            <c:strRef>
              <c:f>'G4'!$AP$24</c:f>
              <c:strCache>
                <c:ptCount val="1"/>
                <c:pt idx="0">
                  <c:v>Peso Real</c:v>
                </c:pt>
              </c:strCache>
            </c:strRef>
          </c:tx>
          <c:spPr>
            <a:ln w="25400">
              <a:solidFill>
                <a:srgbClr val="C00000"/>
              </a:solidFill>
            </a:ln>
            <a:effectLst>
              <a:outerShdw blurRad="50800" dist="50800" dir="5400000" algn="ctr" rotWithShape="0">
                <a:schemeClr val="bg1">
                  <a:lumMod val="75000"/>
                </a:schemeClr>
              </a:outerShdw>
            </a:effectLst>
          </c:spPr>
          <c:marker>
            <c:symbol val="circle"/>
            <c:size val="5"/>
            <c:spPr>
              <a:solidFill>
                <a:srgbClr val="00B0F0"/>
              </a:solidFill>
              <a:ln cap="rnd">
                <a:solidFill>
                  <a:schemeClr val="tx1"/>
                </a:solidFill>
                <a:bevel/>
              </a:ln>
              <a:effectLst>
                <a:outerShdw blurRad="50800" dist="50800" dir="5400000" algn="ctr" rotWithShape="0">
                  <a:schemeClr val="bg1">
                    <a:lumMod val="75000"/>
                  </a:schemeClr>
                </a:outerShdw>
              </a:effectLst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C00000"/>
                    </a:solidFill>
                    <a:latin typeface="Arial Narrow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'G4'!$AO$25:$AO$32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('G4'!$AK$8,'G4'!$AK$15,'G4'!$AK$22,'G4'!$AK$29,'G4'!$AK$36,'G4'!$AK$43,'G4'!$AK$50,'G4'!$AK$57)</c:f>
              <c:numCache>
                <c:formatCode>#,##0.0_ ;[Red]\-#,##0.0\ </c:formatCode>
                <c:ptCount val="8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320-49FB-B069-C1A94027D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5387120"/>
        <c:axId val="1576868912"/>
      </c:lineChart>
      <c:catAx>
        <c:axId val="160538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1576868912"/>
        <c:crosses val="autoZero"/>
        <c:auto val="1"/>
        <c:lblAlgn val="ctr"/>
        <c:lblOffset val="1"/>
        <c:noMultiLvlLbl val="0"/>
      </c:catAx>
      <c:valAx>
        <c:axId val="15768689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_ ;[Red]\-#,##0\ " sourceLinked="0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Arial Narrow" pitchFamily="34" charset="0"/>
              </a:defRPr>
            </a:pPr>
            <a:endParaRPr lang="es-CO"/>
          </a:p>
        </c:txPr>
        <c:crossAx val="1605387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011947431302701"/>
          <c:y val="0.62106387727927004"/>
          <c:w val="0.24492234169653701"/>
          <c:h val="0.21570215746492299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</c:spPr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4" l="0.70000000000000095" r="0.70000000000000095" t="0.750000000000004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Parámetros Zootécnicos</a:t>
            </a:r>
          </a:p>
        </c:rich>
      </c:tx>
      <c:layout>
        <c:manualLayout>
          <c:xMode val="edge"/>
          <c:yMode val="edge"/>
          <c:x val="0.25896047940244299"/>
          <c:y val="2.49397869383974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ln>
          <a:solidFill>
            <a:sysClr val="windowText" lastClr="000000"/>
          </a:solidFill>
        </a:ln>
        <a:effectLst>
          <a:outerShdw blurRad="50800" dist="50800" dir="5400000" algn="ctr" rotWithShape="0">
            <a:schemeClr val="bg1">
              <a:lumMod val="75000"/>
            </a:scheme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9.0254518636157494E-2"/>
          <c:y val="4.87805252413624E-2"/>
          <c:w val="0.88465596076892095"/>
          <c:h val="0.86146785116036795"/>
        </c:manualLayout>
      </c:layout>
      <c:lineChart>
        <c:grouping val="standard"/>
        <c:varyColors val="0"/>
        <c:ser>
          <c:idx val="2"/>
          <c:order val="0"/>
          <c:tx>
            <c:strRef>
              <c:f>'G4'!$AQ$42</c:f>
              <c:strCache>
                <c:ptCount val="1"/>
                <c:pt idx="0">
                  <c:v>IP Guia</c:v>
                </c:pt>
              </c:strCache>
            </c:strRef>
          </c:tx>
          <c:spPr>
            <a:ln w="69850">
              <a:solidFill>
                <a:srgbClr val="0070C0">
                  <a:alpha val="50000"/>
                </a:srgbClr>
              </a:solidFill>
            </a:ln>
          </c:spPr>
          <c:marker>
            <c:symbol val="triangle"/>
            <c:size val="6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'G4'!$AO$34:$AO$41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'G4'!$AQ$43:$AQ$50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B90-4982-8AD1-983038B43C5D}"/>
            </c:ext>
          </c:extLst>
        </c:ser>
        <c:ser>
          <c:idx val="1"/>
          <c:order val="1"/>
          <c:tx>
            <c:strRef>
              <c:f>'G4'!$AP$42</c:f>
              <c:strCache>
                <c:ptCount val="1"/>
                <c:pt idx="0">
                  <c:v>IP Real</c:v>
                </c:pt>
              </c:strCache>
            </c:strRef>
          </c:tx>
          <c:spPr>
            <a:ln w="22225">
              <a:solidFill>
                <a:srgbClr val="002060"/>
              </a:solidFill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dLbls>
            <c:spPr>
              <a:solidFill>
                <a:srgbClr val="FFFF00">
                  <a:alpha val="60000"/>
                </a:srgbClr>
              </a:solidFill>
            </c:spPr>
            <c:txPr>
              <a:bodyPr/>
              <a:lstStyle/>
              <a:p>
                <a:pPr>
                  <a:defRPr b="1">
                    <a:solidFill>
                      <a:srgbClr val="C00000"/>
                    </a:solidFill>
                    <a:latin typeface="Arial Narrow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'G4'!$AO$34:$AO$41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'G4'!$AP$43:$AP$50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90-4982-8AD1-983038B43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361520"/>
        <c:axId val="1605370960"/>
      </c:lineChart>
      <c:catAx>
        <c:axId val="160636152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1605370960"/>
        <c:crosses val="autoZero"/>
        <c:auto val="1"/>
        <c:lblAlgn val="ctr"/>
        <c:lblOffset val="1"/>
        <c:noMultiLvlLbl val="0"/>
      </c:catAx>
      <c:valAx>
        <c:axId val="160537096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[Red]\-#,##0\ " sourceLinked="0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Arial Narrow" pitchFamily="34" charset="0"/>
              </a:defRPr>
            </a:pPr>
            <a:endParaRPr lang="es-CO"/>
          </a:p>
        </c:txPr>
        <c:crossAx val="1606361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620071684587801"/>
          <c:y val="0.17008337193145001"/>
          <c:w val="0.21320200566327099"/>
          <c:h val="0.24003624547935001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</c:spPr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4" l="0.70000000000000095" r="0.70000000000000095" t="0.750000000000004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es-CO" sz="1200" b="0"/>
              <a:t>% Cumplimiento</a:t>
            </a:r>
          </a:p>
        </c:rich>
      </c:tx>
      <c:layout>
        <c:manualLayout>
          <c:xMode val="edge"/>
          <c:yMode val="edge"/>
          <c:x val="0.718566929133858"/>
          <c:y val="1.683489228276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effectLst>
          <a:outerShdw blurRad="50800" dist="50800" dir="5400000" algn="ctr" rotWithShape="0">
            <a:schemeClr val="bg1">
              <a:lumMod val="85000"/>
            </a:schemeClr>
          </a:outerShdw>
        </a:effectLst>
        <a:scene3d>
          <a:camera prst="orthographicFront"/>
          <a:lightRig rig="threePt" dir="t"/>
        </a:scene3d>
        <a:sp3d prstMaterial="dkEdge">
          <a:bevelT/>
        </a:sp3d>
      </c:spPr>
    </c:title>
    <c:autoTitleDeleted val="0"/>
    <c:plotArea>
      <c:layout>
        <c:manualLayout>
          <c:layoutTarget val="inner"/>
          <c:xMode val="edge"/>
          <c:yMode val="edge"/>
          <c:x val="9.3817516231523707E-2"/>
          <c:y val="2.42172379967657E-2"/>
          <c:w val="0.87548072938251098"/>
          <c:h val="0.93840054084148505"/>
        </c:manualLayout>
      </c:layout>
      <c:lineChart>
        <c:grouping val="standard"/>
        <c:varyColors val="0"/>
        <c:ser>
          <c:idx val="1"/>
          <c:order val="0"/>
          <c:tx>
            <c:v>% Cump IP</c:v>
          </c:tx>
          <c:spPr>
            <a:ln w="38100"/>
          </c:spPr>
          <c:marker>
            <c:symbol val="square"/>
            <c:size val="5"/>
          </c:marker>
          <c:dLbls>
            <c:spPr>
              <a:ln>
                <a:solidFill>
                  <a:srgbClr val="C00000"/>
                </a:solidFill>
              </a:ln>
            </c:spPr>
            <c:txPr>
              <a:bodyPr/>
              <a:lstStyle/>
              <a:p>
                <a:pPr>
                  <a:defRPr b="0">
                    <a:latin typeface="Arial Narrow" pitchFamily="34" charset="0"/>
                  </a:defRPr>
                </a:pPr>
                <a:endParaRPr lang="es-CO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'G4'!$AO$43:$AO$50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'G4'!$AR$43:$AR$50</c:f>
              <c:numCache>
                <c:formatCode>[Blue]\+?0.0_ ;[Red]\-\ ?0.0\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9E0-4F27-9469-DA82318B9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277584"/>
        <c:axId val="1639251008"/>
      </c:lineChart>
      <c:catAx>
        <c:axId val="163927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es-CO"/>
          </a:p>
        </c:txPr>
        <c:crossAx val="1639251008"/>
        <c:crosses val="autoZero"/>
        <c:auto val="1"/>
        <c:lblAlgn val="ctr"/>
        <c:lblOffset val="1"/>
        <c:noMultiLvlLbl val="0"/>
      </c:catAx>
      <c:valAx>
        <c:axId val="1639251008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[Blue]\+?0.0_ ;[Red]\-\ ?0.0\ " sourceLinked="1"/>
        <c:majorTickMark val="out"/>
        <c:minorTickMark val="none"/>
        <c:tickLblPos val="nextTo"/>
        <c:spPr>
          <a:ln w="31750">
            <a:solidFill>
              <a:srgbClr val="C00000"/>
            </a:solidFill>
          </a:ln>
        </c:spPr>
        <c:txPr>
          <a:bodyPr/>
          <a:lstStyle/>
          <a:p>
            <a:pPr>
              <a:defRPr sz="11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39277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604583080961005"/>
          <c:y val="0.90059504306928095"/>
          <c:w val="0.26115546133656398"/>
          <c:h val="7.5745645430684794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1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4" l="0.70000000000000095" r="0.70000000000000095" t="0.750000000000004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Parámetros Zootécnicos</a:t>
            </a:r>
          </a:p>
        </c:rich>
      </c:tx>
      <c:layout>
        <c:manualLayout>
          <c:xMode val="edge"/>
          <c:yMode val="edge"/>
          <c:x val="0.25896047940244299"/>
          <c:y val="2.49397869383974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ln>
          <a:solidFill>
            <a:sysClr val="windowText" lastClr="000000"/>
          </a:solidFill>
        </a:ln>
        <a:effectLst>
          <a:outerShdw blurRad="50800" dist="50800" dir="5400000" algn="ctr" rotWithShape="0">
            <a:schemeClr val="bg1">
              <a:lumMod val="75000"/>
            </a:scheme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8.7860264544339498E-2"/>
          <c:y val="4.87805252413624E-2"/>
          <c:w val="0.88705021486073898"/>
          <c:h val="0.85979104286845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'G4'!$AQ$33</c:f>
              <c:strCache>
                <c:ptCount val="1"/>
                <c:pt idx="0">
                  <c:v>Ef. Am. Guia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scene3d>
              <a:camera prst="orthographicFront"/>
              <a:lightRig rig="threePt" dir="t"/>
            </a:scene3d>
            <a:sp3d prstMaterial="dkEdge"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1">
                    <a:latin typeface="Arial Narrow" pitchFamily="34" charset="0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'G4'!$AO$34:$AO$41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'G4'!$AQ$34:$AQ$41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B-4BB2-9EE6-3D59C6E51417}"/>
            </c:ext>
          </c:extLst>
        </c:ser>
        <c:ser>
          <c:idx val="3"/>
          <c:order val="1"/>
          <c:tx>
            <c:strRef>
              <c:f>'G4'!$AP$33</c:f>
              <c:strCache>
                <c:ptCount val="1"/>
                <c:pt idx="0">
                  <c:v>Ef. Am. Real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scene3d>
              <a:camera prst="orthographicFront"/>
              <a:lightRig rig="threePt" dir="t"/>
            </a:scene3d>
            <a:sp3d prstMaterial="dkEdge"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1">
                    <a:latin typeface="Arial Narrow" pitchFamily="34" charset="0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'G4'!$AO$34:$AO$41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'G4'!$AP$34:$AP$41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4B-4BB2-9EE6-3D59C6E51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-6"/>
        <c:axId val="1639128240"/>
        <c:axId val="1639130288"/>
      </c:barChart>
      <c:catAx>
        <c:axId val="163912824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1639130288"/>
        <c:crosses val="autoZero"/>
        <c:auto val="1"/>
        <c:lblAlgn val="ctr"/>
        <c:lblOffset val="1"/>
        <c:noMultiLvlLbl val="0"/>
      </c:catAx>
      <c:valAx>
        <c:axId val="16391302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[Red]\-#,##0\ " sourceLinked="0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Arial Narrow" pitchFamily="34" charset="0"/>
              </a:defRPr>
            </a:pPr>
            <a:endParaRPr lang="es-CO"/>
          </a:p>
        </c:txPr>
        <c:crossAx val="1639128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620071684587801"/>
          <c:y val="0.17008337193145001"/>
          <c:w val="0.21320200566327099"/>
          <c:h val="0.24003624547935001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</c:spPr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4" l="0.70000000000000095" r="0.70000000000000095" t="0.750000000000004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es-CO" sz="1200" b="0"/>
              <a:t>% Cumplimiento</a:t>
            </a:r>
          </a:p>
        </c:rich>
      </c:tx>
      <c:layout>
        <c:manualLayout>
          <c:xMode val="edge"/>
          <c:yMode val="edge"/>
          <c:x val="0.17534506676856301"/>
          <c:y val="4.9228322561854602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effectLst>
          <a:outerShdw blurRad="50800" dist="50800" dir="5400000" algn="ctr" rotWithShape="0">
            <a:schemeClr val="bg1">
              <a:lumMod val="85000"/>
            </a:schemeClr>
          </a:outerShdw>
        </a:effectLst>
        <a:scene3d>
          <a:camera prst="orthographicFront"/>
          <a:lightRig rig="threePt" dir="t"/>
        </a:scene3d>
        <a:sp3d prstMaterial="dkEdge">
          <a:bevelT/>
        </a:sp3d>
      </c:spPr>
    </c:title>
    <c:autoTitleDeleted val="0"/>
    <c:plotArea>
      <c:layout>
        <c:manualLayout>
          <c:layoutTarget val="inner"/>
          <c:xMode val="edge"/>
          <c:yMode val="edge"/>
          <c:x val="8.9856064504898095E-2"/>
          <c:y val="3.1547963595106802E-2"/>
          <c:w val="0.91014393549510197"/>
          <c:h val="0.92957061438797095"/>
        </c:manualLayout>
      </c:layout>
      <c:lineChart>
        <c:grouping val="standard"/>
        <c:varyColors val="0"/>
        <c:ser>
          <c:idx val="4"/>
          <c:order val="0"/>
          <c:tx>
            <c:v>% Gan Peso G2</c:v>
          </c:tx>
          <c:spPr>
            <a:ln w="19050">
              <a:solidFill>
                <a:srgbClr val="C00000"/>
              </a:solidFill>
              <a:prstDash val="lgDash"/>
            </a:ln>
          </c:spPr>
          <c:cat>
            <c:numRef>
              <c:f>Con!$AO$8:$AO$15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('G4'!$AM$9,'G4'!$AM$16,'G4'!$AM$23,'G4'!$AM$30,'G4'!$AM$37,'G4'!$AM$44,'G4'!$AM$51,'G4'!$AM$58)</c:f>
              <c:numCache>
                <c:formatCode>[Blue]\+?0.0_ ;[Red]\-\ ?0.0\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4AB-4104-8B31-1BA8F805FD4D}"/>
            </c:ext>
          </c:extLst>
        </c:ser>
        <c:ser>
          <c:idx val="2"/>
          <c:order val="1"/>
          <c:tx>
            <c:v>% Cons Sem G2</c:v>
          </c:tx>
          <c:spPr>
            <a:ln w="19050">
              <a:solidFill>
                <a:srgbClr val="00B050"/>
              </a:solidFill>
              <a:prstDash val="lgDash"/>
            </a:ln>
          </c:spPr>
          <c:cat>
            <c:numRef>
              <c:f>Con!$AO$8:$AO$15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'G4'!$AR$7:$AR$14</c:f>
              <c:numCache>
                <c:formatCode>[Blue]\+?0.0_ ;[Red]\-\ ?0.0\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4AB-4104-8B31-1BA8F805F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843968"/>
        <c:axId val="1639846288"/>
      </c:lineChart>
      <c:catAx>
        <c:axId val="163984396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600" b="1"/>
            </a:pPr>
            <a:endParaRPr lang="es-CO"/>
          </a:p>
        </c:txPr>
        <c:crossAx val="1639846288"/>
        <c:crosses val="autoZero"/>
        <c:auto val="1"/>
        <c:lblAlgn val="ctr"/>
        <c:lblOffset val="1"/>
        <c:noMultiLvlLbl val="0"/>
      </c:catAx>
      <c:valAx>
        <c:axId val="1639846288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[Blue]\+?0.0_ ;[Red]\-\ ?0.0\ " sourceLinked="1"/>
        <c:majorTickMark val="out"/>
        <c:minorTickMark val="none"/>
        <c:tickLblPos val="nextTo"/>
        <c:spPr>
          <a:ln w="31750">
            <a:solidFill>
              <a:srgbClr val="C00000"/>
            </a:solidFill>
          </a:ln>
        </c:spPr>
        <c:txPr>
          <a:bodyPr/>
          <a:lstStyle/>
          <a:p>
            <a:pPr>
              <a:defRPr sz="1100" b="0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1639843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849715660542401"/>
          <c:y val="0.87123177311169397"/>
          <c:w val="0.582656650677286"/>
          <c:h val="0.109484543598717"/>
        </c:manualLayout>
      </c:layout>
      <c:overlay val="0"/>
      <c:spPr>
        <a:solidFill>
          <a:schemeClr val="accent6">
            <a:lumMod val="40000"/>
            <a:lumOff val="60000"/>
            <a:alpha val="60000"/>
          </a:schemeClr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1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es-CO" sz="1200" b="0"/>
              <a:t>% Cumplimiento</a:t>
            </a:r>
          </a:p>
        </c:rich>
      </c:tx>
      <c:layout>
        <c:manualLayout>
          <c:xMode val="edge"/>
          <c:yMode val="edge"/>
          <c:x val="0.121782180618902"/>
          <c:y val="5.3277490943971197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effectLst>
          <a:outerShdw blurRad="50800" dist="50800" dir="5400000" algn="ctr" rotWithShape="0">
            <a:schemeClr val="bg1">
              <a:lumMod val="85000"/>
            </a:schemeClr>
          </a:outerShdw>
        </a:effectLst>
        <a:scene3d>
          <a:camera prst="orthographicFront"/>
          <a:lightRig rig="threePt" dir="t"/>
        </a:scene3d>
        <a:sp3d prstMaterial="dkEdge">
          <a:bevelT/>
        </a:sp3d>
      </c:spPr>
    </c:title>
    <c:autoTitleDeleted val="0"/>
    <c:plotArea>
      <c:layout>
        <c:manualLayout>
          <c:layoutTarget val="inner"/>
          <c:xMode val="edge"/>
          <c:yMode val="edge"/>
          <c:x val="9.7890497427347095E-2"/>
          <c:y val="3.1547963595106802E-2"/>
          <c:w val="0.90210950257265299"/>
          <c:h val="0.92957061438797095"/>
        </c:manualLayout>
      </c:layout>
      <c:lineChart>
        <c:grouping val="standard"/>
        <c:varyColors val="0"/>
        <c:ser>
          <c:idx val="5"/>
          <c:order val="0"/>
          <c:tx>
            <c:v>% Peso G2</c:v>
          </c:tx>
          <c:spPr>
            <a:ln w="19050">
              <a:solidFill>
                <a:srgbClr val="C00000"/>
              </a:solidFill>
              <a:prstDash val="sysDash"/>
            </a:ln>
          </c:spPr>
          <c:cat>
            <c:numRef>
              <c:f>Con!$AO$8:$AO$15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'G4'!$AR$25:$AR$32</c:f>
              <c:numCache>
                <c:formatCode>[Blue]\+?0.0_ ;[Red]\-\ ?0.0\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F35-4C17-BB65-03CBC632A560}"/>
            </c:ext>
          </c:extLst>
        </c:ser>
        <c:ser>
          <c:idx val="3"/>
          <c:order val="1"/>
          <c:tx>
            <c:v>% Con Ac G2</c:v>
          </c:tx>
          <c:spPr>
            <a:ln w="19050">
              <a:solidFill>
                <a:srgbClr val="00B050"/>
              </a:solidFill>
              <a:prstDash val="sysDash"/>
            </a:ln>
          </c:spPr>
          <c:cat>
            <c:numRef>
              <c:f>Con!$AO$8:$AO$15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'G4'!$AR$16:$AR$23</c:f>
              <c:numCache>
                <c:formatCode>[Blue]\+?0.0_ ;[Red]\-\ ?0.0\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F35-4C17-BB65-03CBC632A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410448"/>
        <c:axId val="1639412768"/>
      </c:lineChart>
      <c:catAx>
        <c:axId val="163941044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600" b="1"/>
            </a:pPr>
            <a:endParaRPr lang="es-CO"/>
          </a:p>
        </c:txPr>
        <c:crossAx val="1639412768"/>
        <c:crosses val="autoZero"/>
        <c:auto val="1"/>
        <c:lblAlgn val="ctr"/>
        <c:lblOffset val="1"/>
        <c:noMultiLvlLbl val="0"/>
      </c:catAx>
      <c:valAx>
        <c:axId val="1639412768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[Blue]\+?0.0_ ;[Red]\-\ ?0.0\ " sourceLinked="0"/>
        <c:majorTickMark val="out"/>
        <c:minorTickMark val="none"/>
        <c:tickLblPos val="nextTo"/>
        <c:spPr>
          <a:ln w="31750">
            <a:solidFill>
              <a:srgbClr val="C00000"/>
            </a:solidFill>
          </a:ln>
        </c:spPr>
        <c:txPr>
          <a:bodyPr/>
          <a:lstStyle/>
          <a:p>
            <a:pPr>
              <a:defRPr sz="1200" b="0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1639410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154083475367042"/>
          <c:y val="0.89424559757526045"/>
          <c:w val="0.58076208263975293"/>
          <c:h val="8.6470883181599845E-2"/>
        </c:manualLayout>
      </c:layout>
      <c:overlay val="0"/>
      <c:spPr>
        <a:solidFill>
          <a:schemeClr val="accent6">
            <a:lumMod val="40000"/>
            <a:lumOff val="60000"/>
            <a:alpha val="60000"/>
          </a:schemeClr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200" b="0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es-CO" sz="1200" b="0"/>
              <a:t>% Cumplimiento</a:t>
            </a:r>
          </a:p>
        </c:rich>
      </c:tx>
      <c:layout>
        <c:manualLayout>
          <c:xMode val="edge"/>
          <c:yMode val="edge"/>
          <c:x val="0.726259236826166"/>
          <c:y val="1.683489228276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effectLst>
          <a:outerShdw blurRad="50800" dist="50800" dir="5400000" algn="ctr" rotWithShape="0">
            <a:schemeClr val="bg1">
              <a:lumMod val="85000"/>
            </a:schemeClr>
          </a:outerShdw>
        </a:effectLst>
        <a:scene3d>
          <a:camera prst="orthographicFront"/>
          <a:lightRig rig="threePt" dir="t"/>
        </a:scene3d>
        <a:sp3d prstMaterial="dkEdge">
          <a:bevelT/>
        </a:sp3d>
      </c:spPr>
    </c:title>
    <c:autoTitleDeleted val="0"/>
    <c:plotArea>
      <c:layout>
        <c:manualLayout>
          <c:layoutTarget val="inner"/>
          <c:xMode val="edge"/>
          <c:yMode val="edge"/>
          <c:x val="9.3817516231523707E-2"/>
          <c:y val="2.42172379967657E-2"/>
          <c:w val="0.87548072938251098"/>
          <c:h val="0.93840054084148505"/>
        </c:manualLayout>
      </c:layout>
      <c:lineChart>
        <c:grouping val="standard"/>
        <c:varyColors val="0"/>
        <c:ser>
          <c:idx val="0"/>
          <c:order val="0"/>
          <c:tx>
            <c:v>% Cump Efic</c:v>
          </c:tx>
          <c:spPr>
            <a:ln w="38100"/>
          </c:spPr>
          <c:marker>
            <c:symbol val="diamond"/>
            <c:size val="5"/>
          </c:marker>
          <c:dLbls>
            <c:spPr>
              <a:ln>
                <a:solidFill>
                  <a:srgbClr val="0070C0"/>
                </a:solidFill>
              </a:ln>
            </c:spPr>
            <c:txPr>
              <a:bodyPr/>
              <a:lstStyle/>
              <a:p>
                <a:pPr>
                  <a:defRPr>
                    <a:latin typeface="Arial Narrow" pitchFamily="34" charset="0"/>
                  </a:defRPr>
                </a:pPr>
                <a:endParaRPr lang="es-CO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'G4'!$AO$43:$AO$50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'G4'!$AR$34:$AR$41</c:f>
              <c:numCache>
                <c:formatCode>[Blue]\+?0.0_ ;[Red]\-\ ?0.0\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CAA-4AD2-860A-F7F7E0B0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6250992"/>
        <c:axId val="1576290048"/>
      </c:lineChart>
      <c:catAx>
        <c:axId val="157625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es-CO"/>
          </a:p>
        </c:txPr>
        <c:crossAx val="1576290048"/>
        <c:crosses val="autoZero"/>
        <c:auto val="1"/>
        <c:lblAlgn val="ctr"/>
        <c:lblOffset val="1"/>
        <c:noMultiLvlLbl val="0"/>
      </c:catAx>
      <c:valAx>
        <c:axId val="1576290048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[Blue]\+?0.0_ ;[Red]\-\ ?0.0\ " sourceLinked="1"/>
        <c:majorTickMark val="out"/>
        <c:minorTickMark val="none"/>
        <c:tickLblPos val="nextTo"/>
        <c:spPr>
          <a:ln w="31750">
            <a:solidFill>
              <a:srgbClr val="C00000"/>
            </a:solidFill>
          </a:ln>
        </c:spPr>
        <c:txPr>
          <a:bodyPr/>
          <a:lstStyle/>
          <a:p>
            <a:pPr>
              <a:defRPr sz="11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57625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322531798909805"/>
          <c:y val="0.90059504306928095"/>
          <c:w val="0.27654007672117897"/>
          <c:h val="7.5745645430684794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1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4" l="0.70000000000000095" r="0.70000000000000095" t="0.750000000000004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408555113407"/>
          <c:y val="4.87805252413624E-2"/>
          <c:w val="0.86550183915182999"/>
          <c:h val="0.92342944327508802"/>
        </c:manualLayout>
      </c:layout>
      <c:lineChart>
        <c:grouping val="standard"/>
        <c:varyColors val="0"/>
        <c:ser>
          <c:idx val="2"/>
          <c:order val="0"/>
          <c:tx>
            <c:strRef>
              <c:f>'G1'!$AQ$42</c:f>
              <c:strCache>
                <c:ptCount val="1"/>
                <c:pt idx="0">
                  <c:v>IP Guia</c:v>
                </c:pt>
              </c:strCache>
            </c:strRef>
          </c:tx>
          <c:spPr>
            <a:ln w="66675">
              <a:solidFill>
                <a:srgbClr val="0070C0">
                  <a:alpha val="50000"/>
                </a:srgbClr>
              </a:solidFill>
            </a:ln>
          </c:spPr>
          <c:marker>
            <c:symbol val="triangle"/>
            <c:size val="6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'G1'!$AO$34:$AO$41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'G1'!$AQ$43:$AQ$50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1B0-4D7E-BFD6-6910CAA70F8C}"/>
            </c:ext>
          </c:extLst>
        </c:ser>
        <c:ser>
          <c:idx val="1"/>
          <c:order val="1"/>
          <c:tx>
            <c:strRef>
              <c:f>'G1'!$AP$42</c:f>
              <c:strCache>
                <c:ptCount val="1"/>
                <c:pt idx="0">
                  <c:v>IP Real</c:v>
                </c:pt>
              </c:strCache>
            </c:strRef>
          </c:tx>
          <c:spPr>
            <a:ln w="22225">
              <a:solidFill>
                <a:srgbClr val="002060"/>
              </a:solidFill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dLbls>
            <c:spPr>
              <a:solidFill>
                <a:srgbClr val="FFFF00">
                  <a:alpha val="60000"/>
                </a:srgbClr>
              </a:solidFill>
            </c:spPr>
            <c:txPr>
              <a:bodyPr/>
              <a:lstStyle/>
              <a:p>
                <a:pPr>
                  <a:defRPr b="1">
                    <a:solidFill>
                      <a:srgbClr val="C00000"/>
                    </a:solidFill>
                    <a:latin typeface="Arial Narrow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'G1'!$AO$34:$AO$41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'G1'!$AP$43:$AP$50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1B0-4D7E-BFD6-6910CAA70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6890144"/>
        <c:axId val="1576891776"/>
      </c:lineChart>
      <c:catAx>
        <c:axId val="157689014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1576891776"/>
        <c:crosses val="autoZero"/>
        <c:auto val="1"/>
        <c:lblAlgn val="ctr"/>
        <c:lblOffset val="1"/>
        <c:noMultiLvlLbl val="0"/>
      </c:catAx>
      <c:valAx>
        <c:axId val="157689177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[Red]\-#,##0\ " sourceLinked="0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Arial Narrow" pitchFamily="34" charset="0"/>
              </a:defRPr>
            </a:pPr>
            <a:endParaRPr lang="es-CO"/>
          </a:p>
        </c:txPr>
        <c:crossAx val="1576890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620071684587801"/>
          <c:y val="0.17008337193145001"/>
          <c:w val="0.21320200566327099"/>
          <c:h val="0.2582122910471860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</c:spPr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4" l="0.70000000000000095" r="0.70000000000000095" t="0.750000000000004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849944758193906E-2"/>
          <c:y val="0.13964044775373499"/>
          <c:w val="0.91139903156527802"/>
          <c:h val="0.766866223577033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'G4'!$BA$36</c:f>
              <c:strCache>
                <c:ptCount val="1"/>
                <c:pt idx="0">
                  <c:v>Biomasa Real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'G4'!$AZ$37:$AZ$44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'G4'!$BA$37:$BA$44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ED-4A02-914F-1F5804FD6E58}"/>
            </c:ext>
          </c:extLst>
        </c:ser>
        <c:ser>
          <c:idx val="2"/>
          <c:order val="1"/>
          <c:tx>
            <c:strRef>
              <c:f>'G4'!$BB$36</c:f>
              <c:strCache>
                <c:ptCount val="1"/>
                <c:pt idx="0">
                  <c:v>Biomasa Guía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'G4'!$AZ$37:$AZ$44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'G4'!$BB$37:$BB$44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ED-4A02-914F-1F5804FD6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overlap val="-16"/>
        <c:axId val="1639545264"/>
        <c:axId val="1639547312"/>
      </c:barChart>
      <c:catAx>
        <c:axId val="163954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1639547312"/>
        <c:crosses val="autoZero"/>
        <c:auto val="1"/>
        <c:lblAlgn val="ctr"/>
        <c:lblOffset val="1"/>
        <c:noMultiLvlLbl val="0"/>
      </c:catAx>
      <c:valAx>
        <c:axId val="16395473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.0_ ;[Red]\-#,##0.0\ 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 Narrow" pitchFamily="34" charset="0"/>
              </a:defRPr>
            </a:pPr>
            <a:endParaRPr lang="es-CO"/>
          </a:p>
        </c:txPr>
        <c:crossAx val="16395452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935313330232906"/>
          <c:y val="2.0833333333333332E-2"/>
          <c:w val="0.48258340416205614"/>
          <c:h val="0.10132340879265092"/>
        </c:manualLayout>
      </c:layout>
      <c:overlay val="0"/>
      <c:spPr>
        <a:solidFill>
          <a:sysClr val="window" lastClr="FFFFFF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c:spPr>
      <c:txPr>
        <a:bodyPr/>
        <a:lstStyle/>
        <a:p>
          <a:pPr>
            <a:defRPr sz="1200">
              <a:latin typeface="Arial Narrow" pitchFamily="34" charset="0"/>
            </a:defRPr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O" sz="1400"/>
              <a:t>% Cumplimiento</a:t>
            </a:r>
          </a:p>
        </c:rich>
      </c:tx>
      <c:layout>
        <c:manualLayout>
          <c:xMode val="edge"/>
          <c:yMode val="edge"/>
          <c:x val="0.25702842243403801"/>
          <c:y val="1.68350168350168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effectLst>
          <a:outerShdw blurRad="50800" dist="50800" dir="5400000" algn="ctr" rotWithShape="0">
            <a:schemeClr val="bg1">
              <a:lumMod val="85000"/>
            </a:schemeClr>
          </a:outerShdw>
        </a:effectLst>
        <a:scene3d>
          <a:camera prst="orthographicFront"/>
          <a:lightRig rig="threePt" dir="t"/>
        </a:scene3d>
        <a:sp3d prstMaterial="dkEdge">
          <a:bevelT/>
        </a:sp3d>
      </c:spPr>
    </c:title>
    <c:autoTitleDeleted val="0"/>
    <c:plotArea>
      <c:layout>
        <c:manualLayout>
          <c:layoutTarget val="inner"/>
          <c:xMode val="edge"/>
          <c:yMode val="edge"/>
          <c:x val="9.3817516231523707E-2"/>
          <c:y val="2.42172379967657E-2"/>
          <c:w val="0.87548072938251098"/>
          <c:h val="0.93840054084148505"/>
        </c:manualLayout>
      </c:layout>
      <c:lineChart>
        <c:grouping val="standard"/>
        <c:varyColors val="0"/>
        <c:ser>
          <c:idx val="0"/>
          <c:order val="0"/>
          <c:tx>
            <c:v>% Cons Acum</c:v>
          </c:tx>
          <c:spPr>
            <a:ln w="57150"/>
          </c:spPr>
          <c:dLbls>
            <c:spPr>
              <a:ln>
                <a:solidFill>
                  <a:srgbClr val="0070C0"/>
                </a:solidFill>
              </a:ln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Con!$AO$26:$AO$33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Con!$AR$17:$AR$24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954-4EF8-8119-43C57030140A}"/>
            </c:ext>
          </c:extLst>
        </c:ser>
        <c:ser>
          <c:idx val="1"/>
          <c:order val="1"/>
          <c:tx>
            <c:v>% Peso</c:v>
          </c:tx>
          <c:spPr>
            <a:ln w="57150"/>
          </c:spPr>
          <c:marker>
            <c:symbol val="square"/>
            <c:size val="9"/>
          </c:marker>
          <c:dLbls>
            <c:spPr>
              <a:ln>
                <a:solidFill>
                  <a:srgbClr val="C00000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Con!$AO$26:$AO$33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Con!$AR$26:$AR$33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954-4EF8-8119-43C570301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328560"/>
        <c:axId val="1639330608"/>
      </c:lineChart>
      <c:catAx>
        <c:axId val="16393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600" b="1"/>
            </a:pPr>
            <a:endParaRPr lang="es-CO"/>
          </a:p>
        </c:txPr>
        <c:crossAx val="1639330608"/>
        <c:crosses val="autoZero"/>
        <c:auto val="1"/>
        <c:lblAlgn val="ctr"/>
        <c:lblOffset val="1"/>
        <c:noMultiLvlLbl val="0"/>
      </c:catAx>
      <c:valAx>
        <c:axId val="1639330608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0">
            <a:solidFill>
              <a:srgbClr val="C00000"/>
            </a:solidFill>
          </a:ln>
        </c:spPr>
        <c:txPr>
          <a:bodyPr/>
          <a:lstStyle/>
          <a:p>
            <a:pPr>
              <a:defRPr sz="1400" b="1">
                <a:latin typeface="Arial Narrow" pitchFamily="34" charset="0"/>
              </a:defRPr>
            </a:pPr>
            <a:endParaRPr lang="es-CO"/>
          </a:p>
        </c:txPr>
        <c:crossAx val="1639328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4343167155885197"/>
          <c:y val="1.5163445478406101E-2"/>
          <c:w val="0.435045542051478"/>
          <c:h val="6.9011638696678104E-2"/>
        </c:manualLayout>
      </c:layout>
      <c:overlay val="0"/>
      <c:spPr>
        <a:solidFill>
          <a:srgbClr val="4F81BD">
            <a:lumMod val="20000"/>
            <a:lumOff val="80000"/>
            <a:alpha val="70000"/>
          </a:srgbClr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1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4" l="0.70000000000000095" r="0.70000000000000095" t="0.750000000000004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O" sz="1400"/>
              <a:t>% Cumplimiento</a:t>
            </a:r>
          </a:p>
        </c:rich>
      </c:tx>
      <c:layout>
        <c:manualLayout>
          <c:xMode val="edge"/>
          <c:yMode val="edge"/>
          <c:x val="0.25702842243403801"/>
          <c:y val="1.68350168350168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effectLst>
          <a:outerShdw blurRad="50800" dist="50800" dir="5400000" algn="ctr" rotWithShape="0">
            <a:schemeClr val="bg1">
              <a:lumMod val="85000"/>
            </a:schemeClr>
          </a:outerShdw>
        </a:effectLst>
        <a:scene3d>
          <a:camera prst="orthographicFront"/>
          <a:lightRig rig="threePt" dir="t"/>
        </a:scene3d>
        <a:sp3d prstMaterial="dkEdge">
          <a:bevelT/>
        </a:sp3d>
      </c:spPr>
    </c:title>
    <c:autoTitleDeleted val="0"/>
    <c:plotArea>
      <c:layout>
        <c:manualLayout>
          <c:layoutTarget val="inner"/>
          <c:xMode val="edge"/>
          <c:yMode val="edge"/>
          <c:x val="9.3817516231523707E-2"/>
          <c:y val="2.42172379967657E-2"/>
          <c:w val="0.87548072938251098"/>
          <c:h val="0.93840054084148505"/>
        </c:manualLayout>
      </c:layout>
      <c:lineChart>
        <c:grouping val="standard"/>
        <c:varyColors val="0"/>
        <c:ser>
          <c:idx val="0"/>
          <c:order val="0"/>
          <c:tx>
            <c:v>% Cump Efic</c:v>
          </c:tx>
          <c:spPr>
            <a:ln w="57150"/>
          </c:spPr>
          <c:dLbls>
            <c:spPr>
              <a:ln>
                <a:solidFill>
                  <a:srgbClr val="0070C0"/>
                </a:solidFill>
              </a:ln>
            </c:spPr>
            <c:txPr>
              <a:bodyPr/>
              <a:lstStyle/>
              <a:p>
                <a:pPr>
                  <a:defRPr>
                    <a:latin typeface="Arial Narrow" pitchFamily="34" charset="0"/>
                  </a:defRPr>
                </a:pPr>
                <a:endParaRPr lang="es-CO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Con!$AO$44:$AO$51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Con!$AR$35:$AR$42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8EA-4703-BAD8-696E2DDB521E}"/>
            </c:ext>
          </c:extLst>
        </c:ser>
        <c:ser>
          <c:idx val="1"/>
          <c:order val="1"/>
          <c:tx>
            <c:v>% Cump IP</c:v>
          </c:tx>
          <c:spPr>
            <a:ln w="57150"/>
          </c:spPr>
          <c:marker>
            <c:symbol val="square"/>
            <c:size val="11"/>
          </c:marker>
          <c:dLbls>
            <c:spPr>
              <a:ln>
                <a:solidFill>
                  <a:srgbClr val="C00000"/>
                </a:solidFill>
              </a:ln>
            </c:spPr>
            <c:txPr>
              <a:bodyPr/>
              <a:lstStyle/>
              <a:p>
                <a:pPr>
                  <a:defRPr b="0">
                    <a:latin typeface="Arial Narrow" pitchFamily="34" charset="0"/>
                  </a:defRPr>
                </a:pPr>
                <a:endParaRPr lang="es-CO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Con!$AO$44:$AO$51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Con!$AR$44:$AR$51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8EA-4703-BAD8-696E2DDB5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473712"/>
        <c:axId val="1639475760"/>
      </c:lineChart>
      <c:catAx>
        <c:axId val="163947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600" b="1"/>
            </a:pPr>
            <a:endParaRPr lang="es-CO"/>
          </a:p>
        </c:txPr>
        <c:crossAx val="1639475760"/>
        <c:crosses val="autoZero"/>
        <c:auto val="1"/>
        <c:lblAlgn val="ctr"/>
        <c:lblOffset val="1"/>
        <c:noMultiLvlLbl val="0"/>
      </c:catAx>
      <c:valAx>
        <c:axId val="1639475760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0">
            <a:solidFill>
              <a:srgbClr val="C00000"/>
            </a:solidFill>
          </a:ln>
        </c:spPr>
        <c:txPr>
          <a:bodyPr/>
          <a:lstStyle/>
          <a:p>
            <a:pPr>
              <a:defRPr sz="1400" b="1">
                <a:latin typeface="Arial Narrow" pitchFamily="34" charset="0"/>
              </a:defRPr>
            </a:pPr>
            <a:endParaRPr lang="es-CO"/>
          </a:p>
        </c:txPr>
        <c:crossAx val="1639473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912280701754399"/>
          <c:y val="0.87374930406426499"/>
          <c:w val="0.55089912280701803"/>
          <c:h val="7.5745645430684794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1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4" l="0.70000000000000095" r="0.70000000000000095" t="0.750000000000004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/>
              <a:t>Consumo Semanal (Gr.)</a:t>
            </a:r>
          </a:p>
        </c:rich>
      </c:tx>
      <c:layout>
        <c:manualLayout>
          <c:xMode val="edge"/>
          <c:yMode val="edge"/>
          <c:x val="0.11864132589442999"/>
          <c:y val="9.1547124791219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9.1126180836161294E-2"/>
          <c:y val="4.87805252413624E-2"/>
          <c:w val="0.89778699057780798"/>
          <c:h val="0.8377330788196929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Con!$AP$7</c:f>
              <c:strCache>
                <c:ptCount val="1"/>
                <c:pt idx="0">
                  <c:v>Cons Sem Real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Con!$AO$8:$AO$15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Con!$AP$8:$AP$15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CA-4A9F-949A-26E2E2BA28A0}"/>
            </c:ext>
          </c:extLst>
        </c:ser>
        <c:ser>
          <c:idx val="2"/>
          <c:order val="1"/>
          <c:tx>
            <c:strRef>
              <c:f>Con!$AQ$7</c:f>
              <c:strCache>
                <c:ptCount val="1"/>
                <c:pt idx="0">
                  <c:v>Cons Sem Guia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Con!$AO$8:$AO$15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Con!$AQ$8:$AQ$15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CA-4A9F-949A-26E2E2BA2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1639177152"/>
        <c:axId val="1639179200"/>
      </c:barChart>
      <c:catAx>
        <c:axId val="163917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9179200"/>
        <c:crosses val="autoZero"/>
        <c:auto val="1"/>
        <c:lblAlgn val="ctr"/>
        <c:lblOffset val="1"/>
        <c:noMultiLvlLbl val="0"/>
      </c:catAx>
      <c:valAx>
        <c:axId val="163917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B05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9177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userShapes r:id="rId3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% Cumplimiento</a:t>
            </a:r>
          </a:p>
        </c:rich>
      </c:tx>
      <c:layout>
        <c:manualLayout>
          <c:xMode val="edge"/>
          <c:yMode val="edge"/>
          <c:x val="0.17534506676856301"/>
          <c:y val="4.9228322561854602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effectLst>
          <a:outerShdw blurRad="50800" dist="50800" dir="5400000" algn="ctr" rotWithShape="0">
            <a:schemeClr val="bg1">
              <a:lumMod val="85000"/>
            </a:schemeClr>
          </a:outerShdw>
        </a:effectLst>
        <a:scene3d>
          <a:camera prst="orthographicFront"/>
          <a:lightRig rig="threePt" dir="t"/>
        </a:scene3d>
        <a:sp3d prstMaterial="dkEdge">
          <a:bevelT/>
        </a:sp3d>
      </c:spPr>
    </c:title>
    <c:autoTitleDeleted val="0"/>
    <c:plotArea>
      <c:layout>
        <c:manualLayout>
          <c:layoutTarget val="inner"/>
          <c:xMode val="edge"/>
          <c:yMode val="edge"/>
          <c:x val="8.9856064504898095E-2"/>
          <c:y val="3.1547963595106802E-2"/>
          <c:w val="0.91014393549510197"/>
          <c:h val="0.92957061438797095"/>
        </c:manualLayout>
      </c:layout>
      <c:lineChart>
        <c:grouping val="standard"/>
        <c:varyColors val="0"/>
        <c:ser>
          <c:idx val="1"/>
          <c:order val="0"/>
          <c:tx>
            <c:v>% Gan Sem Peso</c:v>
          </c:tx>
          <c:spPr>
            <a:ln w="44450">
              <a:solidFill>
                <a:srgbClr val="C00000"/>
              </a:solidFill>
            </a:ln>
          </c:spPr>
          <c:marker>
            <c:symbol val="square"/>
            <c:size val="9"/>
          </c:marker>
          <c:cat>
            <c:numRef>
              <c:f>Con!$AO$8:$AO$15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(Con!$AM$9,Con!$AM$16,Con!$AM$23,Con!$AM$30,Con!$AM$37,Con!$AM$44,Con!$AM$51,Con!$AM$58)</c:f>
              <c:numCache>
                <c:formatCode>[Blue]\+?0.0_ ;[Red]\-\ ?0.0\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DD3-4750-B532-01A0692CEFDB}"/>
            </c:ext>
          </c:extLst>
        </c:ser>
        <c:ser>
          <c:idx val="0"/>
          <c:order val="1"/>
          <c:tx>
            <c:v>% Cons Sem</c:v>
          </c:tx>
          <c:spPr>
            <a:ln w="44450">
              <a:solidFill>
                <a:srgbClr val="0070C0"/>
              </a:solidFill>
            </a:ln>
          </c:spPr>
          <c:cat>
            <c:numRef>
              <c:f>Con!$AO$8:$AO$15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Con!$AR$8:$AR$15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DD3-4750-B532-01A0692CE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9389712"/>
        <c:axId val="1576180304"/>
      </c:lineChart>
      <c:catAx>
        <c:axId val="1609389712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2000" b="1"/>
            </a:pPr>
            <a:endParaRPr lang="es-CO"/>
          </a:p>
        </c:txPr>
        <c:crossAx val="1576180304"/>
        <c:crosses val="autoZero"/>
        <c:auto val="1"/>
        <c:lblAlgn val="ctr"/>
        <c:lblOffset val="1"/>
        <c:noMultiLvlLbl val="0"/>
      </c:catAx>
      <c:valAx>
        <c:axId val="1576180304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[Blue]\+?0.0_ ;[Red]\-\ ?0.0\ " sourceLinked="1"/>
        <c:majorTickMark val="out"/>
        <c:minorTickMark val="none"/>
        <c:tickLblPos val="nextTo"/>
        <c:spPr>
          <a:ln w="31750">
            <a:solidFill>
              <a:srgbClr val="C00000"/>
            </a:solidFill>
          </a:ln>
        </c:spPr>
        <c:txPr>
          <a:bodyPr/>
          <a:lstStyle/>
          <a:p>
            <a:pPr>
              <a:defRPr sz="1600" b="1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1609389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794153716415503"/>
          <c:y val="0.78122391131302504"/>
          <c:w val="0.214361622656004"/>
          <c:h val="0.199492381586205"/>
        </c:manualLayout>
      </c:layout>
      <c:overlay val="0"/>
      <c:spPr>
        <a:solidFill>
          <a:schemeClr val="accent6">
            <a:lumMod val="40000"/>
            <a:lumOff val="60000"/>
            <a:alpha val="60000"/>
          </a:schemeClr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600" b="1"/>
          </a:pPr>
          <a:endParaRPr lang="es-CO"/>
        </a:p>
      </c:txPr>
    </c:legend>
    <c:plotVisOnly val="1"/>
    <c:dispBlanksAs val="gap"/>
    <c:showDLblsOverMax val="0"/>
  </c:chart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autoTitleDeleted val="1"/>
    <c:plotArea>
      <c:layout>
        <c:manualLayout>
          <c:layoutTarget val="inner"/>
          <c:xMode val="edge"/>
          <c:yMode val="edge"/>
          <c:x val="0.164171772987805"/>
          <c:y val="9.0862541414304304E-2"/>
          <c:w val="0.82408818527727101"/>
          <c:h val="0.78177820026581002"/>
        </c:manualLayout>
      </c:layout>
      <c:lineChart>
        <c:grouping val="standard"/>
        <c:varyColors val="0"/>
        <c:ser>
          <c:idx val="2"/>
          <c:order val="0"/>
          <c:tx>
            <c:strRef>
              <c:f>Con!$AQ$16</c:f>
              <c:strCache>
                <c:ptCount val="1"/>
                <c:pt idx="0">
                  <c:v>Cons Acu Guia</c:v>
                </c:pt>
              </c:strCache>
            </c:strRef>
          </c:tx>
          <c:spPr>
            <a:ln w="76200" cap="rnd">
              <a:solidFill>
                <a:srgbClr val="0070C0">
                  <a:alpha val="40000"/>
                </a:srgb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circle"/>
            <c:size val="4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marker>
          <c:cat>
            <c:numRef>
              <c:f>Con!$AO$17:$AO$24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Con!$AQ$17:$AQ$24</c:f>
              <c:numCache>
                <c:formatCode>?,??0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A16-47B5-B52F-545307F1C913}"/>
            </c:ext>
          </c:extLst>
        </c:ser>
        <c:ser>
          <c:idx val="1"/>
          <c:order val="1"/>
          <c:tx>
            <c:strRef>
              <c:f>Con!$AP$16</c:f>
              <c:strCache>
                <c:ptCount val="1"/>
                <c:pt idx="0">
                  <c:v>Cons Acu Real</c:v>
                </c:pt>
              </c:strCache>
            </c:strRef>
          </c:tx>
          <c:spPr>
            <a:ln w="22225" cap="rnd">
              <a:solidFill>
                <a:srgbClr val="002060">
                  <a:alpha val="80000"/>
                </a:srgb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circle"/>
            <c:size val="4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marker>
          <c:cat>
            <c:numRef>
              <c:f>Con!$AO$17:$AO$24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Con!$AP$17:$AP$24</c:f>
              <c:numCache>
                <c:formatCode>?,??0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A16-47B5-B52F-545307F1C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dropLines>
        <c:marker val="1"/>
        <c:smooth val="0"/>
        <c:axId val="1637632480"/>
        <c:axId val="1637582144"/>
      </c:lineChart>
      <c:catAx>
        <c:axId val="163763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7582144"/>
        <c:crosses val="autoZero"/>
        <c:auto val="1"/>
        <c:lblAlgn val="ctr"/>
        <c:lblOffset val="1"/>
        <c:noMultiLvlLbl val="0"/>
      </c:catAx>
      <c:valAx>
        <c:axId val="163758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76324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userShapes r:id="rId3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solidFill>
                  <a:schemeClr val="dk1"/>
                </a:solidFill>
                <a:latin typeface="+mn-lt"/>
                <a:ea typeface="+mn-ea"/>
                <a:cs typeface="+mn-cs"/>
              </a:rPr>
              <a:t>Peso Aves (Gr.)</a:t>
            </a:r>
            <a:endParaRPr lang="es-CO"/>
          </a:p>
        </c:rich>
      </c:tx>
      <c:layout>
        <c:manualLayout>
          <c:xMode val="edge"/>
          <c:yMode val="edge"/>
          <c:x val="0.109836294593237"/>
          <c:y val="7.9395105256856793E-2"/>
        </c:manualLayout>
      </c:layout>
      <c:overlay val="0"/>
      <c:spPr>
        <a:gradFill rotWithShape="1">
          <a:gsLst>
            <a:gs pos="0">
              <a:schemeClr val="accent2">
                <a:tint val="50000"/>
                <a:satMod val="300000"/>
              </a:schemeClr>
            </a:gs>
            <a:gs pos="35000">
              <a:schemeClr val="accent2">
                <a:tint val="37000"/>
                <a:satMod val="300000"/>
              </a:schemeClr>
            </a:gs>
            <a:gs pos="100000">
              <a:schemeClr val="accent2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2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1630746106229103E-2"/>
          <c:y val="4.87805252413624E-2"/>
          <c:w val="0.94327965230063804"/>
          <c:h val="0.87623525540767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Con!$AP$25</c:f>
              <c:strCache>
                <c:ptCount val="1"/>
                <c:pt idx="0">
                  <c:v>Peso Real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Con!$AO$26:$AO$33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(Con!$AK$8,Con!$AK$15,Con!$AK$22,Con!$AK$29,Con!$AK$36,Con!$AK$43,Con!$AK$50,Con!$AK$57)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94-492A-8CC2-BD48C93C7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37412528"/>
        <c:axId val="1609010960"/>
      </c:barChart>
      <c:lineChart>
        <c:grouping val="standard"/>
        <c:varyColors val="0"/>
        <c:ser>
          <c:idx val="2"/>
          <c:order val="0"/>
          <c:tx>
            <c:strRef>
              <c:f>Con!$AQ$25</c:f>
              <c:strCache>
                <c:ptCount val="1"/>
                <c:pt idx="0">
                  <c:v>Peso Guia</c:v>
                </c:pt>
              </c:strCache>
            </c:strRef>
          </c:tx>
          <c:spPr>
            <a:ln w="44450" cap="rnd">
              <a:solidFill>
                <a:srgbClr val="C00000">
                  <a:alpha val="75000"/>
                </a:srgb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Con!$AO$26:$AO$33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Con!$AQ$26:$AQ$33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4-492A-8CC2-BD48C93C7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7412528"/>
        <c:axId val="1609010960"/>
      </c:lineChart>
      <c:catAx>
        <c:axId val="163741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09010960"/>
        <c:crosses val="autoZero"/>
        <c:auto val="1"/>
        <c:lblAlgn val="ctr"/>
        <c:lblOffset val="1"/>
        <c:noMultiLvlLbl val="0"/>
      </c:catAx>
      <c:valAx>
        <c:axId val="1609010960"/>
        <c:scaling>
          <c:orientation val="minMax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0"/>
        <c:majorTickMark val="none"/>
        <c:minorTickMark val="none"/>
        <c:tickLblPos val="nextTo"/>
        <c:crossAx val="1637412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9.6855344313122593E-2"/>
          <c:y val="0.206779232484916"/>
          <c:w val="0.16027375558735299"/>
          <c:h val="0.18778066196888701"/>
        </c:manualLayout>
      </c:layout>
      <c:overlay val="0"/>
      <c:spPr>
        <a:gradFill rotWithShape="1">
          <a:gsLst>
            <a:gs pos="0">
              <a:schemeClr val="accent1">
                <a:shade val="51000"/>
                <a:satMod val="130000"/>
              </a:schemeClr>
            </a:gs>
            <a:gs pos="80000">
              <a:schemeClr val="accent1">
                <a:shade val="93000"/>
                <a:satMod val="130000"/>
              </a:schemeClr>
            </a:gs>
            <a:gs pos="100000">
              <a:schemeClr val="accent1"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userShapes r:id="rId3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% Cumplimiento</a:t>
            </a:r>
          </a:p>
        </c:rich>
      </c:tx>
      <c:layout>
        <c:manualLayout>
          <c:xMode val="edge"/>
          <c:yMode val="edge"/>
          <c:x val="0.121782180618902"/>
          <c:y val="5.3277490943971197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effectLst>
          <a:outerShdw blurRad="50800" dist="50800" dir="5400000" algn="ctr" rotWithShape="0">
            <a:schemeClr val="bg1">
              <a:lumMod val="85000"/>
            </a:schemeClr>
          </a:outerShdw>
        </a:effectLst>
        <a:scene3d>
          <a:camera prst="orthographicFront"/>
          <a:lightRig rig="threePt" dir="t"/>
        </a:scene3d>
        <a:sp3d prstMaterial="dkEdge">
          <a:bevelT/>
        </a:sp3d>
      </c:spPr>
    </c:title>
    <c:autoTitleDeleted val="0"/>
    <c:plotArea>
      <c:layout>
        <c:manualLayout>
          <c:layoutTarget val="inner"/>
          <c:xMode val="edge"/>
          <c:yMode val="edge"/>
          <c:x val="9.7890497427347095E-2"/>
          <c:y val="3.1547963595106802E-2"/>
          <c:w val="0.90210950257265299"/>
          <c:h val="0.92957061438797095"/>
        </c:manualLayout>
      </c:layout>
      <c:lineChart>
        <c:grouping val="standard"/>
        <c:varyColors val="0"/>
        <c:ser>
          <c:idx val="1"/>
          <c:order val="0"/>
          <c:tx>
            <c:v>% Cumpl Peso</c:v>
          </c:tx>
          <c:spPr>
            <a:ln w="44450">
              <a:solidFill>
                <a:srgbClr val="C00000"/>
              </a:solidFill>
            </a:ln>
          </c:spPr>
          <c:marker>
            <c:symbol val="square"/>
            <c:size val="9"/>
          </c:marker>
          <c:cat>
            <c:numRef>
              <c:f>Con!$AO$8:$AO$15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Con!$AR$26:$AR$33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EFA-4F4A-93AA-1FDFF2171265}"/>
            </c:ext>
          </c:extLst>
        </c:ser>
        <c:ser>
          <c:idx val="0"/>
          <c:order val="1"/>
          <c:tx>
            <c:v>% Cons Acum</c:v>
          </c:tx>
          <c:spPr>
            <a:ln w="44450">
              <a:solidFill>
                <a:srgbClr val="0070C0"/>
              </a:solidFill>
            </a:ln>
          </c:spPr>
          <c:cat>
            <c:numRef>
              <c:f>Con!$AO$8:$AO$15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Con!$AR$17:$AR$24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EFA-4F4A-93AA-1FDFF2171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3170976"/>
        <c:axId val="1603173024"/>
      </c:lineChart>
      <c:catAx>
        <c:axId val="1603170976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2000" b="1"/>
            </a:pPr>
            <a:endParaRPr lang="es-CO"/>
          </a:p>
        </c:txPr>
        <c:crossAx val="1603173024"/>
        <c:crosses val="autoZero"/>
        <c:auto val="1"/>
        <c:lblAlgn val="ctr"/>
        <c:lblOffset val="1"/>
        <c:noMultiLvlLbl val="0"/>
      </c:catAx>
      <c:valAx>
        <c:axId val="1603173024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[Blue]\+?0.0_ ;[Red]\-\ ?0.0\ " sourceLinked="0"/>
        <c:majorTickMark val="out"/>
        <c:minorTickMark val="none"/>
        <c:tickLblPos val="nextTo"/>
        <c:spPr>
          <a:ln w="31750">
            <a:solidFill>
              <a:srgbClr val="C00000"/>
            </a:solidFill>
          </a:ln>
        </c:spPr>
        <c:txPr>
          <a:bodyPr/>
          <a:lstStyle/>
          <a:p>
            <a:pPr>
              <a:defRPr sz="1600" b="1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160317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794153716415503"/>
          <c:y val="0.78324496399820798"/>
          <c:w val="0.214361622656004"/>
          <c:h val="0.19747132890102201"/>
        </c:manualLayout>
      </c:layout>
      <c:overlay val="0"/>
      <c:spPr>
        <a:solidFill>
          <a:schemeClr val="accent6">
            <a:lumMod val="40000"/>
            <a:lumOff val="60000"/>
            <a:alpha val="60000"/>
          </a:schemeClr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400" b="1"/>
          </a:pPr>
          <a:endParaRPr lang="es-CO"/>
        </a:p>
      </c:txPr>
    </c:legend>
    <c:plotVisOnly val="1"/>
    <c:dispBlanksAs val="gap"/>
    <c:showDLblsOverMax val="0"/>
  </c:chart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Parámetros Zootécnicos</a:t>
            </a:r>
          </a:p>
        </c:rich>
      </c:tx>
      <c:layout>
        <c:manualLayout>
          <c:xMode val="edge"/>
          <c:yMode val="edge"/>
          <c:x val="0.39777578895851001"/>
          <c:y val="2.0215261923831399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ln>
          <a:solidFill>
            <a:sysClr val="windowText" lastClr="000000"/>
          </a:solidFill>
        </a:ln>
        <a:effectLst>
          <a:outerShdw blurRad="50800" dist="50800" dir="5400000" algn="ctr" rotWithShape="0">
            <a:schemeClr val="bg1">
              <a:lumMod val="75000"/>
            </a:scheme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7.8294776560301302E-2"/>
          <c:y val="4.87805252413624E-2"/>
          <c:w val="0.91097577591748402"/>
          <c:h val="0.87894182158056899"/>
        </c:manualLayout>
      </c:layout>
      <c:areaChart>
        <c:grouping val="standard"/>
        <c:varyColors val="0"/>
        <c:ser>
          <c:idx val="0"/>
          <c:order val="1"/>
          <c:tx>
            <c:strRef>
              <c:f>Con!$AQ$34</c:f>
              <c:strCache>
                <c:ptCount val="1"/>
                <c:pt idx="0">
                  <c:v>Ef. Am. Guia</c:v>
                </c:pt>
              </c:strCache>
            </c:strRef>
          </c:tx>
          <c:spPr>
            <a:solidFill>
              <a:srgbClr val="00B050">
                <a:alpha val="30000"/>
              </a:srgbClr>
            </a:solidFill>
            <a:scene3d>
              <a:camera prst="orthographicFront"/>
              <a:lightRig rig="threePt" dir="t"/>
            </a:scene3d>
            <a:sp3d prstMaterial="dkEdge">
              <a:bevelT/>
            </a:sp3d>
          </c:spPr>
          <c:dLbls>
            <c:numFmt formatCode="??0.0" sourceLinked="0"/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>
                  <a:defRPr sz="1400" b="0">
                    <a:latin typeface="Arial Narrow" pitchFamily="34" charset="0"/>
                  </a:defRPr>
                </a:pPr>
                <a:endParaRPr lang="es-CO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Con!$AO$35:$AO$42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Con!$AQ$35:$AQ$42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E-4B62-9D57-E0CAABFF1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7816736"/>
        <c:axId val="1637802672"/>
      </c:areaChart>
      <c:barChart>
        <c:barDir val="col"/>
        <c:grouping val="clustered"/>
        <c:varyColors val="0"/>
        <c:ser>
          <c:idx val="3"/>
          <c:order val="0"/>
          <c:tx>
            <c:strRef>
              <c:f>Con!$AP$34</c:f>
              <c:strCache>
                <c:ptCount val="1"/>
                <c:pt idx="0">
                  <c:v>Ef. Am. Real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70000"/>
              </a:schemeClr>
            </a:solidFill>
            <a:scene3d>
              <a:camera prst="orthographicFront"/>
              <a:lightRig rig="threePt" dir="t"/>
            </a:scene3d>
            <a:sp3d prstMaterial="dkEdge">
              <a:bevelT/>
            </a:sp3d>
          </c:spPr>
          <c:invertIfNegative val="0"/>
          <c:dLbls>
            <c:numFmt formatCode="??0.0" sourceLinked="0"/>
            <c:spPr>
              <a:noFill/>
              <a:ln>
                <a:noFill/>
              </a:ln>
              <a:effectLst/>
            </c:spPr>
            <c:txPr>
              <a:bodyPr rot="0" vertOverflow="overflow" horzOverflow="overflow" vert="horz">
                <a:spAutoFit/>
              </a:bodyPr>
              <a:lstStyle/>
              <a:p>
                <a:pPr>
                  <a:defRPr sz="1400" b="0">
                    <a:latin typeface="Arial Narrow" pitchFamily="34" charset="0"/>
                  </a:defRPr>
                </a:pPr>
                <a:endParaRPr lang="es-CO"/>
              </a:p>
            </c:tx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Con!$AO$35:$AO$42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Con!$AP$35:$AP$42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E-4B62-9D57-E0CAABFF1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3"/>
        <c:axId val="1637816736"/>
        <c:axId val="1637802672"/>
      </c:barChart>
      <c:catAx>
        <c:axId val="163781673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/>
            </a:pPr>
            <a:endParaRPr lang="es-CO"/>
          </a:p>
        </c:txPr>
        <c:crossAx val="1637802672"/>
        <c:crosses val="autoZero"/>
        <c:auto val="1"/>
        <c:lblAlgn val="ctr"/>
        <c:lblOffset val="1"/>
        <c:noMultiLvlLbl val="0"/>
      </c:catAx>
      <c:valAx>
        <c:axId val="163780267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[Red]\-#,##0\ " sourceLinked="0"/>
        <c:majorTickMark val="out"/>
        <c:minorTickMark val="none"/>
        <c:tickLblPos val="nextTo"/>
        <c:txPr>
          <a:bodyPr/>
          <a:lstStyle/>
          <a:p>
            <a:pPr>
              <a:defRPr sz="1600" b="0">
                <a:latin typeface="Arial Narrow" pitchFamily="34" charset="0"/>
              </a:defRPr>
            </a:pPr>
            <a:endParaRPr lang="es-CO"/>
          </a:p>
        </c:txPr>
        <c:crossAx val="1637816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9259213766169507E-2"/>
          <c:y val="7.1559805021383302E-2"/>
          <c:w val="0.21458138604827801"/>
          <c:h val="0.16417528562977199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</c:spPr>
      <c:txPr>
        <a:bodyPr/>
        <a:lstStyle/>
        <a:p>
          <a:pPr>
            <a:defRPr sz="1800" b="0">
              <a:latin typeface="+mn-lt"/>
            </a:defRPr>
          </a:pPr>
          <a:endParaRPr lang="es-CO"/>
        </a:p>
      </c:txPr>
    </c:legend>
    <c:plotVisOnly val="1"/>
    <c:dispBlanksAs val="gap"/>
    <c:showDLblsOverMax val="0"/>
  </c:chart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Parámetros Zootécnicos</a:t>
            </a:r>
          </a:p>
        </c:rich>
      </c:tx>
      <c:layout>
        <c:manualLayout>
          <c:xMode val="edge"/>
          <c:yMode val="edge"/>
          <c:x val="0.39777578895851001"/>
          <c:y val="2.0215261923831399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ln>
          <a:solidFill>
            <a:sysClr val="windowText" lastClr="000000"/>
          </a:solidFill>
        </a:ln>
        <a:effectLst>
          <a:outerShdw blurRad="50800" dist="50800" dir="5400000" algn="ctr" rotWithShape="0">
            <a:schemeClr val="bg1">
              <a:lumMod val="75000"/>
            </a:scheme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7.8294776560301302E-2"/>
          <c:y val="4.87805252413624E-2"/>
          <c:w val="0.91097577591748402"/>
          <c:h val="0.87894182158056899"/>
        </c:manualLayout>
      </c:layout>
      <c:areaChart>
        <c:grouping val="standard"/>
        <c:varyColors val="0"/>
        <c:ser>
          <c:idx val="0"/>
          <c:order val="0"/>
          <c:tx>
            <c:strRef>
              <c:f>Con!$AQ$43</c:f>
              <c:strCache>
                <c:ptCount val="1"/>
                <c:pt idx="0">
                  <c:v>IP Guia</c:v>
                </c:pt>
              </c:strCache>
            </c:strRef>
          </c:tx>
          <c:spPr>
            <a:solidFill>
              <a:srgbClr val="00B050">
                <a:alpha val="30000"/>
              </a:srgbClr>
            </a:solidFill>
            <a:scene3d>
              <a:camera prst="orthographicFront"/>
              <a:lightRig rig="threePt" dir="t"/>
            </a:scene3d>
            <a:sp3d prstMaterial="dkEdge">
              <a:bevelT/>
            </a:sp3d>
          </c:spPr>
          <c:dLbls>
            <c:numFmt formatCode="??0.0" sourceLinked="0"/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>
                  <a:defRPr sz="1400" b="0">
                    <a:latin typeface="Arial Narrow" pitchFamily="34" charset="0"/>
                  </a:defRPr>
                </a:pPr>
                <a:endParaRPr lang="es-CO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Con!$AO$35:$AO$42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Con!$AQ$44:$AQ$51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D-424D-9F2B-70D5D43C9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7761696"/>
        <c:axId val="1637743872"/>
      </c:areaChart>
      <c:barChart>
        <c:barDir val="col"/>
        <c:grouping val="clustered"/>
        <c:varyColors val="0"/>
        <c:ser>
          <c:idx val="3"/>
          <c:order val="1"/>
          <c:tx>
            <c:strRef>
              <c:f>Con!$AP$43</c:f>
              <c:strCache>
                <c:ptCount val="1"/>
                <c:pt idx="0">
                  <c:v>IP Real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70000"/>
              </a:schemeClr>
            </a:solidFill>
            <a:scene3d>
              <a:camera prst="orthographicFront"/>
              <a:lightRig rig="threePt" dir="t"/>
            </a:scene3d>
            <a:sp3d prstMaterial="dkEdge">
              <a:bevelT/>
            </a:sp3d>
          </c:spPr>
          <c:invertIfNegative val="0"/>
          <c:dLbls>
            <c:numFmt formatCode="??0.0" sourceLinked="0"/>
            <c:spPr>
              <a:noFill/>
              <a:ln>
                <a:noFill/>
              </a:ln>
              <a:effectLst/>
            </c:spPr>
            <c:txPr>
              <a:bodyPr rot="0" vertOverflow="overflow" horzOverflow="overflow" vert="horz">
                <a:spAutoFit/>
              </a:bodyPr>
              <a:lstStyle/>
              <a:p>
                <a:pPr>
                  <a:defRPr sz="1400" b="0">
                    <a:latin typeface="Arial Narrow" pitchFamily="34" charset="0"/>
                  </a:defRPr>
                </a:pPr>
                <a:endParaRPr lang="es-CO"/>
              </a:p>
            </c:tx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Con!$AO$35:$AO$42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Con!$AP$44:$AP$51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FD-424D-9F2B-70D5D43C9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3"/>
        <c:axId val="1637761696"/>
        <c:axId val="1637743872"/>
      </c:barChart>
      <c:catAx>
        <c:axId val="163776169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/>
            </a:pPr>
            <a:endParaRPr lang="es-CO"/>
          </a:p>
        </c:txPr>
        <c:crossAx val="1637743872"/>
        <c:crosses val="autoZero"/>
        <c:auto val="1"/>
        <c:lblAlgn val="ctr"/>
        <c:lblOffset val="1"/>
        <c:noMultiLvlLbl val="0"/>
      </c:catAx>
      <c:valAx>
        <c:axId val="163774387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[Red]\-#,##0\ " sourceLinked="0"/>
        <c:majorTickMark val="out"/>
        <c:minorTickMark val="none"/>
        <c:tickLblPos val="nextTo"/>
        <c:txPr>
          <a:bodyPr/>
          <a:lstStyle/>
          <a:p>
            <a:pPr>
              <a:defRPr sz="1600" b="0">
                <a:latin typeface="Arial Narrow" pitchFamily="34" charset="0"/>
              </a:defRPr>
            </a:pPr>
            <a:endParaRPr lang="es-CO"/>
          </a:p>
        </c:txPr>
        <c:crossAx val="1637761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274550314238201"/>
          <c:y val="0.116022905688133"/>
          <c:w val="0.14559052228563199"/>
          <c:h val="0.226827994412346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</c:spPr>
      <c:txPr>
        <a:bodyPr/>
        <a:lstStyle/>
        <a:p>
          <a:pPr>
            <a:defRPr sz="1800" b="0">
              <a:latin typeface="+mn-lt"/>
            </a:defRPr>
          </a:pPr>
          <a:endParaRPr lang="es-CO"/>
        </a:p>
      </c:txPr>
    </c:legend>
    <c:plotVisOnly val="1"/>
    <c:dispBlanksAs val="gap"/>
    <c:showDLblsOverMax val="0"/>
  </c:chart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es-CO" sz="1200" b="0"/>
              <a:t>% Cumplimiento</a:t>
            </a:r>
          </a:p>
        </c:rich>
      </c:tx>
      <c:layout>
        <c:manualLayout>
          <c:xMode val="edge"/>
          <c:yMode val="edge"/>
          <c:x val="0.74489556621514297"/>
          <c:y val="2.5813602567971699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effectLst>
          <a:outerShdw blurRad="50800" dist="50800" dir="5400000" algn="ctr" rotWithShape="0">
            <a:schemeClr val="bg1">
              <a:lumMod val="85000"/>
            </a:schemeClr>
          </a:outerShdw>
        </a:effectLst>
        <a:scene3d>
          <a:camera prst="orthographicFront"/>
          <a:lightRig rig="threePt" dir="t"/>
        </a:scene3d>
        <a:sp3d prstMaterial="dkEdge">
          <a:bevelT/>
        </a:sp3d>
      </c:spPr>
    </c:title>
    <c:autoTitleDeleted val="0"/>
    <c:plotArea>
      <c:layout>
        <c:manualLayout>
          <c:layoutTarget val="inner"/>
          <c:xMode val="edge"/>
          <c:yMode val="edge"/>
          <c:x val="9.3817516231523707E-2"/>
          <c:y val="2.42172379967657E-2"/>
          <c:w val="0.87548072938251098"/>
          <c:h val="0.93840054084148505"/>
        </c:manualLayout>
      </c:layout>
      <c:lineChart>
        <c:grouping val="standard"/>
        <c:varyColors val="0"/>
        <c:ser>
          <c:idx val="0"/>
          <c:order val="0"/>
          <c:tx>
            <c:v>% Cump Efic</c:v>
          </c:tx>
          <c:spPr>
            <a:ln w="38100"/>
          </c:spPr>
          <c:marker>
            <c:symbol val="diamond"/>
            <c:size val="6"/>
          </c:marker>
          <c:dLbls>
            <c:spPr>
              <a:ln>
                <a:solidFill>
                  <a:srgbClr val="0070C0"/>
                </a:solidFill>
              </a:ln>
            </c:spPr>
            <c:txPr>
              <a:bodyPr/>
              <a:lstStyle/>
              <a:p>
                <a:pPr>
                  <a:defRPr>
                    <a:latin typeface="Arial Narrow" pitchFamily="34" charset="0"/>
                  </a:defRPr>
                </a:pPr>
                <a:endParaRPr lang="es-CO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'G1'!$AO$43:$AO$50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'G1'!$AR$34:$AR$41</c:f>
              <c:numCache>
                <c:formatCode>[Blue]\+?0.0_ ;[Red]\-\ ?0.0\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0EF-4315-AE89-1FE79DFA8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6918864"/>
        <c:axId val="1605777408"/>
      </c:lineChart>
      <c:catAx>
        <c:axId val="157691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 b="1"/>
            </a:pPr>
            <a:endParaRPr lang="es-CO"/>
          </a:p>
        </c:txPr>
        <c:crossAx val="1605777408"/>
        <c:crosses val="autoZero"/>
        <c:auto val="1"/>
        <c:lblAlgn val="ctr"/>
        <c:lblOffset val="1"/>
        <c:noMultiLvlLbl val="0"/>
      </c:catAx>
      <c:valAx>
        <c:axId val="1605777408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[Blue]\+?0.0_ ;[Red]\-\ ?0.0\ " sourceLinked="1"/>
        <c:majorTickMark val="out"/>
        <c:minorTickMark val="none"/>
        <c:tickLblPos val="nextTo"/>
        <c:spPr>
          <a:ln w="31750">
            <a:solidFill>
              <a:srgbClr val="C00000"/>
            </a:solidFill>
          </a:ln>
        </c:spPr>
        <c:txPr>
          <a:bodyPr/>
          <a:lstStyle/>
          <a:p>
            <a:pPr>
              <a:defRPr sz="11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576918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383544011021606"/>
          <c:y val="0.90068524262750005"/>
          <c:w val="0.26737422190042298"/>
          <c:h val="7.5745645430684794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1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4" l="0.70000000000000095" r="0.70000000000000095" t="0.750000000000004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BIOMASA - LOTE CONSOLIDADO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5138914975077703E-2"/>
          <c:y val="8.7501555574015497E-2"/>
          <c:w val="0.92871429603409705"/>
          <c:h val="0.83589306817122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Con!$AP$52</c:f>
              <c:strCache>
                <c:ptCount val="1"/>
                <c:pt idx="0">
                  <c:v>Biomasa Real</c:v>
                </c:pt>
              </c:strCache>
            </c:strRef>
          </c:tx>
          <c:spPr>
            <a:solidFill>
              <a:srgbClr val="FF0000">
                <a:alpha val="60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Con!$AO$53:$AO$60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Con!$AP$53:$AP$60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F2-47CB-A0B7-E06E47C0C5AF}"/>
            </c:ext>
          </c:extLst>
        </c:ser>
        <c:ser>
          <c:idx val="2"/>
          <c:order val="1"/>
          <c:tx>
            <c:strRef>
              <c:f>Con!$AQ$52</c:f>
              <c:strCache>
                <c:ptCount val="1"/>
                <c:pt idx="0">
                  <c:v>Biomasa Guía</c:v>
                </c:pt>
              </c:strCache>
            </c:strRef>
          </c:tx>
          <c:spPr>
            <a:solidFill>
              <a:srgbClr val="0070C0">
                <a:alpha val="53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Con!$AO$53:$AO$60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Con!$AQ$53:$AQ$60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F2-47CB-A0B7-E06E47C0C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3"/>
        <c:axId val="1639089584"/>
        <c:axId val="1639147120"/>
      </c:barChart>
      <c:catAx>
        <c:axId val="163908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9147120"/>
        <c:crosses val="autoZero"/>
        <c:auto val="1"/>
        <c:lblAlgn val="ctr"/>
        <c:lblOffset val="1"/>
        <c:noMultiLvlLbl val="0"/>
      </c:catAx>
      <c:valAx>
        <c:axId val="163914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9089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4356425630282501E-2"/>
          <c:y val="0.103997323935279"/>
          <c:w val="0.370920176262371"/>
          <c:h val="5.12026536580894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408555113407"/>
          <c:y val="4.87805252413624E-2"/>
          <c:w val="0.86550183915182999"/>
          <c:h val="0.862453748159529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'G1'!$AQ$33</c:f>
              <c:strCache>
                <c:ptCount val="1"/>
                <c:pt idx="0">
                  <c:v>Ef. Am. Guia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scene3d>
              <a:camera prst="orthographicFront"/>
              <a:lightRig rig="threePt" dir="t"/>
            </a:scene3d>
            <a:sp3d prstMaterial="dkEdge"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1">
                    <a:latin typeface="Arial Narrow" pitchFamily="34" charset="0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'G1'!$AO$34:$AO$41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'G1'!$AQ$34:$AQ$41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C6-4150-ACE0-13911180763E}"/>
            </c:ext>
          </c:extLst>
        </c:ser>
        <c:ser>
          <c:idx val="3"/>
          <c:order val="1"/>
          <c:tx>
            <c:strRef>
              <c:f>'G1'!$AP$33</c:f>
              <c:strCache>
                <c:ptCount val="1"/>
                <c:pt idx="0">
                  <c:v>Ef. Am. Real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scene3d>
              <a:camera prst="orthographicFront"/>
              <a:lightRig rig="threePt" dir="t"/>
            </a:scene3d>
            <a:sp3d prstMaterial="dkEdge"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1">
                    <a:latin typeface="Arial Narrow" pitchFamily="34" charset="0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'G1'!$AO$34:$AO$41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'G1'!$AP$34:$AP$41</c:f>
              <c:numCache>
                <c:formatCode>#,##0.0_ ;[Red]\-#,##0.0\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C6-4150-ACE0-139111807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-6"/>
        <c:axId val="1606219104"/>
        <c:axId val="1605640080"/>
      </c:barChart>
      <c:catAx>
        <c:axId val="160621910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1605640080"/>
        <c:crosses val="autoZero"/>
        <c:auto val="1"/>
        <c:lblAlgn val="ctr"/>
        <c:lblOffset val="1"/>
        <c:noMultiLvlLbl val="0"/>
      </c:catAx>
      <c:valAx>
        <c:axId val="16056400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[Red]\-#,##0\ " sourceLinked="0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Arial Narrow" pitchFamily="34" charset="0"/>
              </a:defRPr>
            </a:pPr>
            <a:endParaRPr lang="es-CO"/>
          </a:p>
        </c:txPr>
        <c:crossAx val="1606219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620071684587801"/>
          <c:y val="0.17008337193145001"/>
          <c:w val="0.21320200566327099"/>
          <c:h val="0.26263217901172697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</c:spPr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4" l="0.70000000000000095" r="0.70000000000000095" t="0.750000000000004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es-CO" sz="1200" b="0"/>
              <a:t>% Cumplimiento</a:t>
            </a:r>
          </a:p>
        </c:rich>
      </c:tx>
      <c:layout>
        <c:manualLayout>
          <c:xMode val="edge"/>
          <c:yMode val="edge"/>
          <c:x val="0.17534506676856301"/>
          <c:y val="4.9228322561854602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effectLst>
          <a:outerShdw blurRad="50800" dist="50800" dir="5400000" algn="ctr" rotWithShape="0">
            <a:schemeClr val="bg1">
              <a:lumMod val="85000"/>
            </a:schemeClr>
          </a:outerShdw>
        </a:effectLst>
        <a:scene3d>
          <a:camera prst="orthographicFront"/>
          <a:lightRig rig="threePt" dir="t"/>
        </a:scene3d>
        <a:sp3d prstMaterial="dkEdge">
          <a:bevelT/>
        </a:sp3d>
      </c:spPr>
    </c:title>
    <c:autoTitleDeleted val="0"/>
    <c:plotArea>
      <c:layout>
        <c:manualLayout>
          <c:layoutTarget val="inner"/>
          <c:xMode val="edge"/>
          <c:yMode val="edge"/>
          <c:x val="8.9856064504898095E-2"/>
          <c:y val="3.1547963595106802E-2"/>
          <c:w val="0.91014393549510197"/>
          <c:h val="0.92957061438797095"/>
        </c:manualLayout>
      </c:layout>
      <c:lineChart>
        <c:grouping val="standard"/>
        <c:varyColors val="0"/>
        <c:ser>
          <c:idx val="4"/>
          <c:order val="0"/>
          <c:tx>
            <c:v>% Gan Peso G1</c:v>
          </c:tx>
          <c:spPr>
            <a:ln w="19050">
              <a:solidFill>
                <a:srgbClr val="C00000"/>
              </a:solidFill>
              <a:prstDash val="lgDash"/>
            </a:ln>
          </c:spPr>
          <c:cat>
            <c:numRef>
              <c:f>Con!$AO$8:$AO$15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('G1'!$AM$9,'G1'!$AM$16,'G1'!$AM$23,'G1'!$AM$30,'G1'!$AM$37,'G1'!$AM$44,'G1'!$AM$51,'G1'!$AM$58)</c:f>
              <c:numCache>
                <c:formatCode>[Blue]\+?0.0_ ;[Red]\-\ ?0.0\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735-4E57-BA4A-5929F9C71CDC}"/>
            </c:ext>
          </c:extLst>
        </c:ser>
        <c:ser>
          <c:idx val="2"/>
          <c:order val="1"/>
          <c:tx>
            <c:v>% Cons Sem G1</c:v>
          </c:tx>
          <c:spPr>
            <a:ln w="19050">
              <a:solidFill>
                <a:srgbClr val="00B050"/>
              </a:solidFill>
              <a:prstDash val="lgDash"/>
            </a:ln>
          </c:spPr>
          <c:cat>
            <c:numRef>
              <c:f>Con!$AO$8:$AO$15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'G1'!$AR$7:$AR$14</c:f>
              <c:numCache>
                <c:formatCode>[Blue]\+?0.0_ ;[Red]\-\ ?0.0\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7735-4E57-BA4A-5929F9C71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6884688"/>
        <c:axId val="1605496592"/>
      </c:lineChart>
      <c:catAx>
        <c:axId val="157688468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600" b="1"/>
            </a:pPr>
            <a:endParaRPr lang="es-CO"/>
          </a:p>
        </c:txPr>
        <c:crossAx val="1605496592"/>
        <c:crosses val="autoZero"/>
        <c:auto val="1"/>
        <c:lblAlgn val="ctr"/>
        <c:lblOffset val="1"/>
        <c:noMultiLvlLbl val="0"/>
      </c:catAx>
      <c:valAx>
        <c:axId val="1605496592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[Blue]\+?0.0_ ;[Red]\-\ ?0.0\ " sourceLinked="1"/>
        <c:majorTickMark val="out"/>
        <c:minorTickMark val="none"/>
        <c:tickLblPos val="nextTo"/>
        <c:spPr>
          <a:ln w="31750">
            <a:solidFill>
              <a:srgbClr val="C00000"/>
            </a:solidFill>
          </a:ln>
        </c:spPr>
        <c:txPr>
          <a:bodyPr/>
          <a:lstStyle/>
          <a:p>
            <a:pPr>
              <a:defRPr sz="1200" b="0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1576884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849715660542401"/>
          <c:y val="0.87123177311169397"/>
          <c:w val="0.57499381542824402"/>
          <c:h val="0.109484543598717"/>
        </c:manualLayout>
      </c:layout>
      <c:overlay val="0"/>
      <c:spPr>
        <a:solidFill>
          <a:schemeClr val="accent6">
            <a:lumMod val="40000"/>
            <a:lumOff val="60000"/>
            <a:alpha val="60000"/>
          </a:schemeClr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1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es-CO" sz="1200" b="0"/>
              <a:t>% Cumplimiento</a:t>
            </a:r>
          </a:p>
        </c:rich>
      </c:tx>
      <c:layout>
        <c:manualLayout>
          <c:xMode val="edge"/>
          <c:yMode val="edge"/>
          <c:x val="0.121782180618902"/>
          <c:y val="5.3277490943971197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effectLst>
          <a:outerShdw blurRad="50800" dist="50800" dir="5400000" algn="ctr" rotWithShape="0">
            <a:schemeClr val="bg1">
              <a:lumMod val="85000"/>
            </a:schemeClr>
          </a:outerShdw>
        </a:effectLst>
        <a:scene3d>
          <a:camera prst="orthographicFront"/>
          <a:lightRig rig="threePt" dir="t"/>
        </a:scene3d>
        <a:sp3d prstMaterial="dkEdge">
          <a:bevelT/>
        </a:sp3d>
      </c:spPr>
    </c:title>
    <c:autoTitleDeleted val="0"/>
    <c:plotArea>
      <c:layout>
        <c:manualLayout>
          <c:layoutTarget val="inner"/>
          <c:xMode val="edge"/>
          <c:yMode val="edge"/>
          <c:x val="9.7890497427347095E-2"/>
          <c:y val="3.1547963595106802E-2"/>
          <c:w val="0.90210950257265299"/>
          <c:h val="0.92957061438797095"/>
        </c:manualLayout>
      </c:layout>
      <c:lineChart>
        <c:grouping val="standard"/>
        <c:varyColors val="0"/>
        <c:ser>
          <c:idx val="4"/>
          <c:order val="0"/>
          <c:tx>
            <c:v>% Peso G1</c:v>
          </c:tx>
          <c:spPr>
            <a:ln w="19050">
              <a:solidFill>
                <a:srgbClr val="C00000"/>
              </a:solidFill>
              <a:prstDash val="lgDash"/>
            </a:ln>
          </c:spPr>
          <c:cat>
            <c:numRef>
              <c:f>Con!$AO$8:$AO$15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'G1'!$AR$25:$AR$32</c:f>
              <c:numCache>
                <c:formatCode>[Blue]\+?0.0_ ;[Red]\-\ ?0.0\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067-4E47-A6BB-B200FD0DF4AC}"/>
            </c:ext>
          </c:extLst>
        </c:ser>
        <c:ser>
          <c:idx val="2"/>
          <c:order val="1"/>
          <c:tx>
            <c:v>% Cons Ac G1</c:v>
          </c:tx>
          <c:spPr>
            <a:ln w="19050">
              <a:solidFill>
                <a:srgbClr val="00B050"/>
              </a:solidFill>
              <a:prstDash val="lgDash"/>
            </a:ln>
          </c:spPr>
          <c:cat>
            <c:numRef>
              <c:f>Con!$AO$8:$AO$15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'G1'!$AR$16:$AR$23</c:f>
              <c:numCache>
                <c:formatCode>[Blue]\+?0.0_ ;[Red]\-\ ?0.0\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067-4E47-A6BB-B200FD0DF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6905312"/>
        <c:axId val="1576907360"/>
      </c:lineChart>
      <c:catAx>
        <c:axId val="1576905312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600" b="1"/>
            </a:pPr>
            <a:endParaRPr lang="es-CO"/>
          </a:p>
        </c:txPr>
        <c:crossAx val="1576907360"/>
        <c:crosses val="autoZero"/>
        <c:auto val="1"/>
        <c:lblAlgn val="ctr"/>
        <c:lblOffset val="1"/>
        <c:noMultiLvlLbl val="0"/>
      </c:catAx>
      <c:valAx>
        <c:axId val="1576907360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[Blue]\+?0.0_ ;[Red]\-\ ?0.0\ " sourceLinked="0"/>
        <c:majorTickMark val="out"/>
        <c:minorTickMark val="none"/>
        <c:tickLblPos val="nextTo"/>
        <c:spPr>
          <a:ln w="31750">
            <a:solidFill>
              <a:srgbClr val="C00000"/>
            </a:solidFill>
          </a:ln>
        </c:spPr>
        <c:txPr>
          <a:bodyPr/>
          <a:lstStyle/>
          <a:p>
            <a:pPr>
              <a:defRPr sz="1200" b="0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1576905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3032164080022891"/>
          <c:y val="0.90702195338165514"/>
          <c:w val="0.65198149063369459"/>
          <c:h val="7.3694529905616091E-2"/>
        </c:manualLayout>
      </c:layout>
      <c:overlay val="0"/>
      <c:spPr>
        <a:solidFill>
          <a:schemeClr val="accent6">
            <a:lumMod val="40000"/>
            <a:lumOff val="60000"/>
            <a:alpha val="60000"/>
          </a:schemeClr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100" b="0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es-CO" sz="1200" b="0"/>
              <a:t>% Cumplimiento</a:t>
            </a:r>
          </a:p>
        </c:rich>
      </c:tx>
      <c:layout>
        <c:manualLayout>
          <c:xMode val="edge"/>
          <c:yMode val="edge"/>
          <c:x val="0.72701561730071096"/>
          <c:y val="2.58136924803592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effectLst>
          <a:outerShdw blurRad="50800" dist="50800" dir="5400000" algn="ctr" rotWithShape="0">
            <a:schemeClr val="bg1">
              <a:lumMod val="85000"/>
            </a:schemeClr>
          </a:outerShdw>
        </a:effectLst>
        <a:scene3d>
          <a:camera prst="orthographicFront"/>
          <a:lightRig rig="threePt" dir="t"/>
        </a:scene3d>
        <a:sp3d prstMaterial="dkEdge">
          <a:bevelT/>
        </a:sp3d>
      </c:spPr>
    </c:title>
    <c:autoTitleDeleted val="0"/>
    <c:plotArea>
      <c:layout>
        <c:manualLayout>
          <c:layoutTarget val="inner"/>
          <c:xMode val="edge"/>
          <c:yMode val="edge"/>
          <c:x val="9.3817516231523707E-2"/>
          <c:y val="2.42172379967657E-2"/>
          <c:w val="0.87548072938251098"/>
          <c:h val="0.93840054084148505"/>
        </c:manualLayout>
      </c:layout>
      <c:lineChart>
        <c:grouping val="standard"/>
        <c:varyColors val="0"/>
        <c:ser>
          <c:idx val="1"/>
          <c:order val="0"/>
          <c:tx>
            <c:v>% Cump IP</c:v>
          </c:tx>
          <c:spPr>
            <a:ln w="38100"/>
          </c:spPr>
          <c:marker>
            <c:symbol val="square"/>
            <c:size val="5"/>
          </c:marker>
          <c:dLbls>
            <c:spPr>
              <a:ln>
                <a:solidFill>
                  <a:srgbClr val="C00000"/>
                </a:solidFill>
              </a:ln>
            </c:spPr>
            <c:txPr>
              <a:bodyPr/>
              <a:lstStyle/>
              <a:p>
                <a:pPr>
                  <a:defRPr b="0">
                    <a:latin typeface="Arial Narrow" pitchFamily="34" charset="0"/>
                  </a:defRPr>
                </a:pPr>
                <a:endParaRPr lang="es-CO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'G1'!$AO$43:$AO$50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'G1'!$AR$43:$AR$50</c:f>
              <c:numCache>
                <c:formatCode>[Blue]\+?0.0_ ;[Red]\-\ ?0.0\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D94-41B2-BEEA-1DF383A98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5846528"/>
        <c:axId val="1605848848"/>
      </c:lineChart>
      <c:catAx>
        <c:axId val="160584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81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600" b="1"/>
            </a:pPr>
            <a:endParaRPr lang="es-CO"/>
          </a:p>
        </c:txPr>
        <c:crossAx val="1605848848"/>
        <c:crosses val="autoZero"/>
        <c:auto val="1"/>
        <c:lblAlgn val="ctr"/>
        <c:lblOffset val="1"/>
        <c:noMultiLvlLbl val="0"/>
      </c:catAx>
      <c:valAx>
        <c:axId val="1605848848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[Blue]\+?0.0_ ;[Red]\-\ ?0.0\ " sourceLinked="1"/>
        <c:majorTickMark val="out"/>
        <c:minorTickMark val="none"/>
        <c:tickLblPos val="nextTo"/>
        <c:spPr>
          <a:ln w="31750">
            <a:solidFill>
              <a:srgbClr val="C00000"/>
            </a:solidFill>
          </a:ln>
        </c:spPr>
        <c:txPr>
          <a:bodyPr/>
          <a:lstStyle/>
          <a:p>
            <a:pPr>
              <a:defRPr sz="11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058465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595549119578505"/>
          <c:y val="0.87816446785211399"/>
          <c:w val="0.28269989239850801"/>
          <c:h val="7.5745645430684794E-2"/>
        </c:manualLayout>
      </c:layout>
      <c:overlay val="0"/>
      <c:spPr>
        <a:solidFill>
          <a:srgbClr val="4F81BD">
            <a:lumMod val="20000"/>
            <a:lumOff val="80000"/>
            <a:alpha val="80000"/>
          </a:srgbClr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1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4" l="0.70000000000000095" r="0.70000000000000095" t="0.750000000000004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 codeName="Gráfico1"/>
  <sheetViews>
    <sheetView zoomScale="68" workbookViewId="0" zoomToFit="1"/>
  </sheetViews>
  <sheetProtection algorithmName="SHA-512" hashValue="J3MBwhmwnocp29ZXYxJ6fz+jus/4kRnty5MDmzaYNn0oPpCjE73XWrKU/ZhWbGXGglcOTmNFCTf+rWkKuv2MPw==" saltValue="Zu2blZv+0IjsszEKEt3S6w==" spinCount="100000" content="1"/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Gráfico2"/>
  <sheetViews>
    <sheetView zoomScale="68" workbookViewId="0" zoomToFit="1"/>
  </sheetViews>
  <sheetProtection algorithmName="SHA-512" hashValue="DKGB0ItZ4e3eY7oKOvVhZ3KYkANXJBBnexPIawn04gwt+u4sWb2JvkvdQ7IxSkv9nAb7vJJB254MZrP0HK4FWA==" saltValue="+5QmR49rZ67K1KWQj9E6Rg==" spinCount="100000" content="1"/>
  <pageMargins left="0.25" right="0.25" top="0.75" bottom="0.75" header="0.3" footer="0.3"/>
  <pageSetup orientation="landscape" horizontalDpi="4294967293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 codeName="Gráfico3"/>
  <sheetViews>
    <sheetView zoomScale="68" workbookViewId="0" zoomToFit="1"/>
  </sheetViews>
  <sheetProtection algorithmName="SHA-512" hashValue="/ri57DwAHuUG0sYQYupM2bOqa3N8o7l0ocS61J2KPidQh8Cg31baE7rx8aL5F6ApjjCFzNgHRRq9PET556tizg==" saltValue="teAlJ1TxeByhJxc7xLx9Sw==" spinCount="100000" content="1"/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Gráfico4"/>
  <sheetViews>
    <sheetView zoomScale="68" workbookViewId="0" zoomToFit="1"/>
  </sheetViews>
  <sheetProtection algorithmName="SHA-512" hashValue="+yMyrjqubzmBMdI6iKZq/ir0LBJdU5wSrYfqpBBI73McRDO/HlIp/o5RZD+2q42dWGsZ3BLhrAwZuAsXnF+ulA==" saltValue="3Q8HCUP5sSK+CJGgnNWYrg==" spinCount="100000" content="1"/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 codeName="Gráfico5"/>
  <sheetViews>
    <sheetView zoomScale="68" workbookViewId="0" zoomToFit="1"/>
  </sheetViews>
  <sheetProtection algorithmName="SHA-512" hashValue="b6q6V90Unpwmr6c1BFqssR2aQcPkWike3maUDI4TlxCMwPQB/hCKtW4mMQrmY48K/w7KwJmGQ83eKi6YM19iNg==" saltValue="OYfxqldzYhLjpXsshWiTTQ==" spinCount="100000" content="1"/>
  <pageMargins left="0.25" right="0.25" top="0.75" bottom="0.75" header="0.3" footer="0.3"/>
  <pageSetup orientation="landscape" horizontalDpi="4294967293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Gráfico7"/>
  <sheetViews>
    <sheetView zoomScale="68" workbookViewId="0" zoomToFit="1"/>
  </sheetViews>
  <sheetProtection algorithmName="SHA-512" hashValue="GpegoOV1zvoxpBHBfcVVJfP/FcHi6xkfsSzv/cEBdXt2YSvNARUUxNnIgrwrOAPQlAOotGM+4vFnkZJkWOwsxg==" saltValue="to1PDIz5aXYVKjvI6BBCTw==" spinCount="100000" content="1"/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 codeName="Gráfico8"/>
  <sheetViews>
    <sheetView zoomScale="68" workbookViewId="0" zoomToFit="1"/>
  </sheetViews>
  <sheetProtection algorithmName="SHA-512" hashValue="D2qL/zBMwWNleN93XbTN4+FiPy9SFAMdbqw6t+y6GVTd80lJN8C3V5h/buv7MuxafppNLnQylgHQpABD19FQcw==" saltValue="x23NU2U2rAUcVPZnC6MrIw==" spinCount="100000" content="1"/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Gráfico9"/>
  <sheetViews>
    <sheetView zoomScale="68" workbookViewId="0" zoomToFit="1"/>
  </sheetViews>
  <sheetProtection algorithmName="SHA-512" hashValue="Y5q/ph8kPZHuKJvwNFgatW5zKTux+s+yGuf65kw2hQhfzVHH/2c9mfYv/Li0y97sg/WvJjfYMJ43MQSpc5C5GA==" saltValue="ZPUV3JypILZExJMeJYFUig==" spinCount="100000" content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3.xml"/><Relationship Id="rId7" Type="http://schemas.openxmlformats.org/officeDocument/2006/relationships/chart" Target="../charts/chart36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image" Target="../media/image1.jpeg"/><Relationship Id="rId11" Type="http://schemas.openxmlformats.org/officeDocument/2006/relationships/chart" Target="../charts/chart40.xml"/><Relationship Id="rId5" Type="http://schemas.openxmlformats.org/officeDocument/2006/relationships/chart" Target="../charts/chart35.xml"/><Relationship Id="rId10" Type="http://schemas.openxmlformats.org/officeDocument/2006/relationships/chart" Target="../charts/chart39.xml"/><Relationship Id="rId4" Type="http://schemas.openxmlformats.org/officeDocument/2006/relationships/chart" Target="../charts/chart34.xml"/><Relationship Id="rId9" Type="http://schemas.openxmlformats.org/officeDocument/2006/relationships/chart" Target="../charts/chart3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3.xml"/><Relationship Id="rId7" Type="http://schemas.openxmlformats.org/officeDocument/2006/relationships/chart" Target="../charts/chart16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image" Target="../media/image1.jpeg"/><Relationship Id="rId11" Type="http://schemas.openxmlformats.org/officeDocument/2006/relationships/chart" Target="../charts/chart20.xml"/><Relationship Id="rId5" Type="http://schemas.openxmlformats.org/officeDocument/2006/relationships/chart" Target="../charts/chart15.xml"/><Relationship Id="rId10" Type="http://schemas.openxmlformats.org/officeDocument/2006/relationships/chart" Target="../charts/chart19.xml"/><Relationship Id="rId4" Type="http://schemas.openxmlformats.org/officeDocument/2006/relationships/chart" Target="../charts/chart14.xml"/><Relationship Id="rId9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3.xml"/><Relationship Id="rId7" Type="http://schemas.openxmlformats.org/officeDocument/2006/relationships/chart" Target="../charts/chart26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jpeg"/><Relationship Id="rId11" Type="http://schemas.openxmlformats.org/officeDocument/2006/relationships/chart" Target="../charts/chart30.xml"/><Relationship Id="rId5" Type="http://schemas.openxmlformats.org/officeDocument/2006/relationships/chart" Target="../charts/chart25.xml"/><Relationship Id="rId10" Type="http://schemas.openxmlformats.org/officeDocument/2006/relationships/chart" Target="../charts/chart29.xml"/><Relationship Id="rId4" Type="http://schemas.openxmlformats.org/officeDocument/2006/relationships/chart" Target="../charts/chart24.xml"/><Relationship Id="rId9" Type="http://schemas.openxmlformats.org/officeDocument/2006/relationships/chart" Target="../charts/chart2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57150</xdr:rowOff>
    </xdr:from>
    <xdr:to>
      <xdr:col>13</xdr:col>
      <xdr:colOff>287867</xdr:colOff>
      <xdr:row>2</xdr:row>
      <xdr:rowOff>154262</xdr:rowOff>
    </xdr:to>
    <xdr:pic>
      <xdr:nvPicPr>
        <xdr:cNvPr id="2" name="3 Imagen" descr="logoSanMarino_18.jpg">
          <a:extLst>
            <a:ext uri="{FF2B5EF4-FFF2-40B4-BE49-F238E27FC236}">
              <a16:creationId xmlns:a16="http://schemas.microsoft.com/office/drawing/2014/main" id="{46205957-C12C-4EEA-AA10-F96FD54DE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57150"/>
          <a:ext cx="1659467" cy="478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0.8088</cdr:x>
      <cdr:y>0.03413</cdr:y>
    </cdr:from>
    <cdr:to>
      <cdr:x>0.98399</cdr:x>
      <cdr:y>0.11085</cdr:y>
    </cdr:to>
    <cdr:pic>
      <cdr:nvPicPr>
        <cdr:cNvPr id="2" name="3 Imagen" descr="logoSanMarino_18.jpg">
          <a:extLst xmlns:a="http://schemas.openxmlformats.org/drawingml/2006/main">
            <a:ext uri="{FF2B5EF4-FFF2-40B4-BE49-F238E27FC236}">
              <a16:creationId xmlns:a16="http://schemas.microsoft.com/office/drawing/2014/main" id="{ED433029-26CD-425E-8305-494BA246C81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670799" y="214085"/>
          <a:ext cx="1661584" cy="4812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3176</xdr:colOff>
      <xdr:row>0</xdr:row>
      <xdr:rowOff>11643</xdr:rowOff>
    </xdr:from>
    <xdr:to>
      <xdr:col>48</xdr:col>
      <xdr:colOff>487892</xdr:colOff>
      <xdr:row>11</xdr:row>
      <xdr:rowOff>200025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B76C6A14-D523-4134-9525-B51576B06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10584</xdr:colOff>
      <xdr:row>11</xdr:row>
      <xdr:rowOff>205317</xdr:rowOff>
    </xdr:from>
    <xdr:to>
      <xdr:col>48</xdr:col>
      <xdr:colOff>495300</xdr:colOff>
      <xdr:row>25</xdr:row>
      <xdr:rowOff>190500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A32CEC62-57AC-49DB-BCF1-D72F83A63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39</xdr:col>
      <xdr:colOff>10584</xdr:colOff>
      <xdr:row>25</xdr:row>
      <xdr:rowOff>203201</xdr:rowOff>
    </xdr:from>
    <xdr:to>
      <xdr:col>48</xdr:col>
      <xdr:colOff>495300</xdr:colOff>
      <xdr:row>37</xdr:row>
      <xdr:rowOff>180976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AC236C5A-1917-4826-AE2A-CE776BE50F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9526</xdr:colOff>
      <xdr:row>37</xdr:row>
      <xdr:rowOff>192616</xdr:rowOff>
    </xdr:from>
    <xdr:to>
      <xdr:col>48</xdr:col>
      <xdr:colOff>494242</xdr:colOff>
      <xdr:row>49</xdr:row>
      <xdr:rowOff>190500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8AF1F369-37B0-44F8-80E6-2AE2E80967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48</xdr:col>
      <xdr:colOff>514350</xdr:colOff>
      <xdr:row>37</xdr:row>
      <xdr:rowOff>180975</xdr:rowOff>
    </xdr:from>
    <xdr:to>
      <xdr:col>56</xdr:col>
      <xdr:colOff>666750</xdr:colOff>
      <xdr:row>49</xdr:row>
      <xdr:rowOff>180975</xdr:rowOff>
    </xdr:to>
    <xdr:graphicFrame macro="">
      <xdr:nvGraphicFramePr>
        <xdr:cNvPr id="6" name="7 Gráfico">
          <a:extLst>
            <a:ext uri="{FF2B5EF4-FFF2-40B4-BE49-F238E27FC236}">
              <a16:creationId xmlns:a16="http://schemas.microsoft.com/office/drawing/2014/main" id="{559D4FED-1B9B-4D7F-94FF-1462AE1E0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31749</xdr:colOff>
      <xdr:row>0</xdr:row>
      <xdr:rowOff>158745</xdr:rowOff>
    </xdr:from>
    <xdr:to>
      <xdr:col>2</xdr:col>
      <xdr:colOff>433916</xdr:colOff>
      <xdr:row>3</xdr:row>
      <xdr:rowOff>36782</xdr:rowOff>
    </xdr:to>
    <xdr:pic>
      <xdr:nvPicPr>
        <xdr:cNvPr id="7" name="3 Imagen" descr="logoSanMarino_18.jpg">
          <a:extLst>
            <a:ext uri="{FF2B5EF4-FFF2-40B4-BE49-F238E27FC236}">
              <a16:creationId xmlns:a16="http://schemas.microsoft.com/office/drawing/2014/main" id="{2A7472CB-48B1-437F-BCEE-31C2DD2EF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" y="158745"/>
          <a:ext cx="1659467" cy="478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39</xdr:col>
      <xdr:colOff>9525</xdr:colOff>
      <xdr:row>49</xdr:row>
      <xdr:rowOff>200026</xdr:rowOff>
    </xdr:from>
    <xdr:to>
      <xdr:col>48</xdr:col>
      <xdr:colOff>494241</xdr:colOff>
      <xdr:row>61</xdr:row>
      <xdr:rowOff>0</xdr:rowOff>
    </xdr:to>
    <xdr:graphicFrame macro="">
      <xdr:nvGraphicFramePr>
        <xdr:cNvPr id="8" name="4 Gráfico">
          <a:extLst>
            <a:ext uri="{FF2B5EF4-FFF2-40B4-BE49-F238E27FC236}">
              <a16:creationId xmlns:a16="http://schemas.microsoft.com/office/drawing/2014/main" id="{893F574A-07BC-4079-B6D2-4D191A4FB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48</xdr:col>
      <xdr:colOff>495300</xdr:colOff>
      <xdr:row>0</xdr:row>
      <xdr:rowOff>9525</xdr:rowOff>
    </xdr:from>
    <xdr:to>
      <xdr:col>56</xdr:col>
      <xdr:colOff>666750</xdr:colOff>
      <xdr:row>11</xdr:row>
      <xdr:rowOff>200026</xdr:rowOff>
    </xdr:to>
    <xdr:graphicFrame macro="">
      <xdr:nvGraphicFramePr>
        <xdr:cNvPr id="9" name="Gráfico 1">
          <a:extLst>
            <a:ext uri="{FF2B5EF4-FFF2-40B4-BE49-F238E27FC236}">
              <a16:creationId xmlns:a16="http://schemas.microsoft.com/office/drawing/2014/main" id="{B86CF606-90C4-4A1C-AE37-52AF0632D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48</xdr:col>
      <xdr:colOff>519111</xdr:colOff>
      <xdr:row>12</xdr:row>
      <xdr:rowOff>9525</xdr:rowOff>
    </xdr:from>
    <xdr:to>
      <xdr:col>56</xdr:col>
      <xdr:colOff>676274</xdr:colOff>
      <xdr:row>25</xdr:row>
      <xdr:rowOff>190501</xdr:rowOff>
    </xdr:to>
    <xdr:graphicFrame macro="">
      <xdr:nvGraphicFramePr>
        <xdr:cNvPr id="10" name="Gráfico 1">
          <a:extLst>
            <a:ext uri="{FF2B5EF4-FFF2-40B4-BE49-F238E27FC236}">
              <a16:creationId xmlns:a16="http://schemas.microsoft.com/office/drawing/2014/main" id="{F49CEE04-443F-4EFD-AF53-283F97C9F6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48</xdr:col>
      <xdr:colOff>504825</xdr:colOff>
      <xdr:row>49</xdr:row>
      <xdr:rowOff>190500</xdr:rowOff>
    </xdr:from>
    <xdr:to>
      <xdr:col>56</xdr:col>
      <xdr:colOff>657225</xdr:colOff>
      <xdr:row>61</xdr:row>
      <xdr:rowOff>0</xdr:rowOff>
    </xdr:to>
    <xdr:graphicFrame macro="">
      <xdr:nvGraphicFramePr>
        <xdr:cNvPr id="11" name="7 Gráfico">
          <a:extLst>
            <a:ext uri="{FF2B5EF4-FFF2-40B4-BE49-F238E27FC236}">
              <a16:creationId xmlns:a16="http://schemas.microsoft.com/office/drawing/2014/main" id="{572C3852-6695-4C41-B94D-1CA0E51C7C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48</xdr:col>
      <xdr:colOff>514350</xdr:colOff>
      <xdr:row>25</xdr:row>
      <xdr:rowOff>200025</xdr:rowOff>
    </xdr:from>
    <xdr:to>
      <xdr:col>57</xdr:col>
      <xdr:colOff>0</xdr:colOff>
      <xdr:row>37</xdr:row>
      <xdr:rowOff>171450</xdr:rowOff>
    </xdr:to>
    <xdr:graphicFrame macro="">
      <xdr:nvGraphicFramePr>
        <xdr:cNvPr id="12" name="14 Gráfico">
          <a:extLst>
            <a:ext uri="{FF2B5EF4-FFF2-40B4-BE49-F238E27FC236}">
              <a16:creationId xmlns:a16="http://schemas.microsoft.com/office/drawing/2014/main" id="{85009A45-E075-4808-97A7-36A2A83F9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0.8088</cdr:x>
      <cdr:y>0.03413</cdr:y>
    </cdr:from>
    <cdr:to>
      <cdr:x>0.98399</cdr:x>
      <cdr:y>0.11085</cdr:y>
    </cdr:to>
    <cdr:pic>
      <cdr:nvPicPr>
        <cdr:cNvPr id="2" name="3 Imagen" descr="logoSanMarino_18.jpg">
          <a:extLst xmlns:a="http://schemas.openxmlformats.org/drawingml/2006/main">
            <a:ext uri="{FF2B5EF4-FFF2-40B4-BE49-F238E27FC236}">
              <a16:creationId xmlns:a16="http://schemas.microsoft.com/office/drawing/2014/main" id="{3BFF8024-405F-4741-9056-C2AD23E0A4B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670799" y="214085"/>
          <a:ext cx="1661584" cy="4812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0.8088</cdr:x>
      <cdr:y>0.03413</cdr:y>
    </cdr:from>
    <cdr:to>
      <cdr:x>0.98399</cdr:x>
      <cdr:y>0.11085</cdr:y>
    </cdr:to>
    <cdr:pic>
      <cdr:nvPicPr>
        <cdr:cNvPr id="2" name="3 Imagen" descr="logoSanMarino_18.jpg">
          <a:extLst xmlns:a="http://schemas.openxmlformats.org/drawingml/2006/main">
            <a:ext uri="{FF2B5EF4-FFF2-40B4-BE49-F238E27FC236}">
              <a16:creationId xmlns:a16="http://schemas.microsoft.com/office/drawing/2014/main" id="{ED433029-26CD-425E-8305-494BA246C81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670799" y="214085"/>
          <a:ext cx="1661584" cy="4812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589491</xdr:colOff>
      <xdr:row>24</xdr:row>
      <xdr:rowOff>9526</xdr:rowOff>
    </xdr:from>
    <xdr:to>
      <xdr:col>76</xdr:col>
      <xdr:colOff>670984</xdr:colOff>
      <xdr:row>42</xdr:row>
      <xdr:rowOff>87843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67</xdr:col>
      <xdr:colOff>621240</xdr:colOff>
      <xdr:row>42</xdr:row>
      <xdr:rowOff>117475</xdr:rowOff>
    </xdr:from>
    <xdr:to>
      <xdr:col>76</xdr:col>
      <xdr:colOff>664632</xdr:colOff>
      <xdr:row>61</xdr:row>
      <xdr:rowOff>10584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31749</xdr:colOff>
      <xdr:row>0</xdr:row>
      <xdr:rowOff>158749</xdr:rowOff>
    </xdr:from>
    <xdr:to>
      <xdr:col>2</xdr:col>
      <xdr:colOff>433916</xdr:colOff>
      <xdr:row>3</xdr:row>
      <xdr:rowOff>36786</xdr:rowOff>
    </xdr:to>
    <xdr:pic>
      <xdr:nvPicPr>
        <xdr:cNvPr id="18" name="3 Imagen" descr="logoSanMarino_18.jp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" y="158749"/>
          <a:ext cx="1661584" cy="481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19050</xdr:rowOff>
    </xdr:from>
    <xdr:to>
      <xdr:col>0</xdr:col>
      <xdr:colOff>2021417</xdr:colOff>
      <xdr:row>0</xdr:row>
      <xdr:rowOff>497162</xdr:rowOff>
    </xdr:to>
    <xdr:pic>
      <xdr:nvPicPr>
        <xdr:cNvPr id="2" name="3 Imagen" descr="logoSanMarino_18.jpg">
          <a:extLst>
            <a:ext uri="{FF2B5EF4-FFF2-40B4-BE49-F238E27FC236}">
              <a16:creationId xmlns:a16="http://schemas.microsoft.com/office/drawing/2014/main" id="{6BECC3A4-FA81-485D-8C21-62450B4E7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050"/>
          <a:ext cx="1659467" cy="478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302900</xdr:colOff>
      <xdr:row>0</xdr:row>
      <xdr:rowOff>38100</xdr:rowOff>
    </xdr:from>
    <xdr:to>
      <xdr:col>0</xdr:col>
      <xdr:colOff>2116661</xdr:colOff>
      <xdr:row>2</xdr:row>
      <xdr:rowOff>179666</xdr:rowOff>
    </xdr:to>
    <xdr:pic>
      <xdr:nvPicPr>
        <xdr:cNvPr id="2" name="3 Imagen" descr="logoSanMarino_18.jpg">
          <a:extLst>
            <a:ext uri="{FF2B5EF4-FFF2-40B4-BE49-F238E27FC236}">
              <a16:creationId xmlns:a16="http://schemas.microsoft.com/office/drawing/2014/main" id="{729A12D9-6373-4F7A-B898-BD2539D7A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900" y="38100"/>
          <a:ext cx="1813761" cy="522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84559" cy="630330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0.80793</cdr:x>
      <cdr:y>0.01651</cdr:y>
    </cdr:from>
    <cdr:to>
      <cdr:x>1</cdr:x>
      <cdr:y>0.09323</cdr:y>
    </cdr:to>
    <cdr:pic>
      <cdr:nvPicPr>
        <cdr:cNvPr id="2" name="3 Imagen" descr="logoSanMarino_18.jpg">
          <a:extLst xmlns:a="http://schemas.openxmlformats.org/drawingml/2006/main">
            <a:ext uri="{FF2B5EF4-FFF2-40B4-BE49-F238E27FC236}">
              <a16:creationId xmlns:a16="http://schemas.microsoft.com/office/drawing/2014/main" id="{09117042-876E-44E4-99D3-921E7D63C90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990143" y="103717"/>
          <a:ext cx="1661732" cy="4820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510993" cy="630330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7409</xdr:colOff>
      <xdr:row>0</xdr:row>
      <xdr:rowOff>11642</xdr:rowOff>
    </xdr:from>
    <xdr:to>
      <xdr:col>48</xdr:col>
      <xdr:colOff>492125</xdr:colOff>
      <xdr:row>12</xdr:row>
      <xdr:rowOff>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13759</xdr:colOff>
      <xdr:row>11</xdr:row>
      <xdr:rowOff>206375</xdr:rowOff>
    </xdr:from>
    <xdr:to>
      <xdr:col>48</xdr:col>
      <xdr:colOff>498475</xdr:colOff>
      <xdr:row>26</xdr:row>
      <xdr:rowOff>9525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39</xdr:col>
      <xdr:colOff>4234</xdr:colOff>
      <xdr:row>26</xdr:row>
      <xdr:rowOff>13758</xdr:rowOff>
    </xdr:from>
    <xdr:to>
      <xdr:col>48</xdr:col>
      <xdr:colOff>488950</xdr:colOff>
      <xdr:row>38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3175</xdr:colOff>
      <xdr:row>38</xdr:row>
      <xdr:rowOff>12699</xdr:rowOff>
    </xdr:from>
    <xdr:to>
      <xdr:col>48</xdr:col>
      <xdr:colOff>487891</xdr:colOff>
      <xdr:row>49</xdr:row>
      <xdr:rowOff>200025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48</xdr:col>
      <xdr:colOff>504825</xdr:colOff>
      <xdr:row>49</xdr:row>
      <xdr:rowOff>200025</xdr:rowOff>
    </xdr:from>
    <xdr:to>
      <xdr:col>56</xdr:col>
      <xdr:colOff>676275</xdr:colOff>
      <xdr:row>60</xdr:row>
      <xdr:rowOff>200026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31749</xdr:colOff>
      <xdr:row>0</xdr:row>
      <xdr:rowOff>158751</xdr:rowOff>
    </xdr:from>
    <xdr:to>
      <xdr:col>2</xdr:col>
      <xdr:colOff>433916</xdr:colOff>
      <xdr:row>3</xdr:row>
      <xdr:rowOff>36788</xdr:rowOff>
    </xdr:to>
    <xdr:pic>
      <xdr:nvPicPr>
        <xdr:cNvPr id="20" name="3 Imagen" descr="logoSanMarino_18.jpg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" y="158751"/>
          <a:ext cx="1661584" cy="481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39</xdr:col>
      <xdr:colOff>9525</xdr:colOff>
      <xdr:row>49</xdr:row>
      <xdr:rowOff>200025</xdr:rowOff>
    </xdr:from>
    <xdr:to>
      <xdr:col>48</xdr:col>
      <xdr:colOff>494241</xdr:colOff>
      <xdr:row>60</xdr:row>
      <xdr:rowOff>200025</xdr:rowOff>
    </xdr:to>
    <xdr:graphicFrame macro="">
      <xdr:nvGraphicFramePr>
        <xdr:cNvPr id="10" name="4 Gráfico">
          <a:extLst>
            <a:ext uri="{FF2B5EF4-FFF2-40B4-BE49-F238E27FC236}">
              <a16:creationId xmlns:a16="http://schemas.microsoft.com/office/drawing/2014/main" id="{C8923A22-3A3F-4BBF-80C8-860970172D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48</xdr:col>
      <xdr:colOff>514350</xdr:colOff>
      <xdr:row>0</xdr:row>
      <xdr:rowOff>14287</xdr:rowOff>
    </xdr:from>
    <xdr:to>
      <xdr:col>57</xdr:col>
      <xdr:colOff>0</xdr:colOff>
      <xdr:row>11</xdr:row>
      <xdr:rowOff>200025</xdr:rowOff>
    </xdr:to>
    <xdr:graphicFrame macro="">
      <xdr:nvGraphicFramePr>
        <xdr:cNvPr id="6" name="Gráfico 1">
          <a:extLst>
            <a:ext uri="{FF2B5EF4-FFF2-40B4-BE49-F238E27FC236}">
              <a16:creationId xmlns:a16="http://schemas.microsoft.com/office/drawing/2014/main" id="{9A19AA16-B686-42E4-80FD-7B008A8CD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48</xdr:col>
      <xdr:colOff>519112</xdr:colOff>
      <xdr:row>12</xdr:row>
      <xdr:rowOff>9525</xdr:rowOff>
    </xdr:from>
    <xdr:to>
      <xdr:col>57</xdr:col>
      <xdr:colOff>0</xdr:colOff>
      <xdr:row>26</xdr:row>
      <xdr:rowOff>9525</xdr:rowOff>
    </xdr:to>
    <xdr:graphicFrame macro="">
      <xdr:nvGraphicFramePr>
        <xdr:cNvPr id="7" name="Gráfico 1">
          <a:extLst>
            <a:ext uri="{FF2B5EF4-FFF2-40B4-BE49-F238E27FC236}">
              <a16:creationId xmlns:a16="http://schemas.microsoft.com/office/drawing/2014/main" id="{E2A6EE9F-A50E-4428-9D1B-0A0B4EC53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48</xdr:col>
      <xdr:colOff>504825</xdr:colOff>
      <xdr:row>38</xdr:row>
      <xdr:rowOff>19050</xdr:rowOff>
    </xdr:from>
    <xdr:to>
      <xdr:col>56</xdr:col>
      <xdr:colOff>676275</xdr:colOff>
      <xdr:row>49</xdr:row>
      <xdr:rowOff>200025</xdr:rowOff>
    </xdr:to>
    <xdr:graphicFrame macro="">
      <xdr:nvGraphicFramePr>
        <xdr:cNvPr id="13" name="7 Gráfico">
          <a:extLst>
            <a:ext uri="{FF2B5EF4-FFF2-40B4-BE49-F238E27FC236}">
              <a16:creationId xmlns:a16="http://schemas.microsoft.com/office/drawing/2014/main" id="{3C551223-5126-4EBC-A62A-A7DE97D86C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48</xdr:col>
      <xdr:colOff>504825</xdr:colOff>
      <xdr:row>26</xdr:row>
      <xdr:rowOff>19051</xdr:rowOff>
    </xdr:from>
    <xdr:to>
      <xdr:col>57</xdr:col>
      <xdr:colOff>0</xdr:colOff>
      <xdr:row>38</xdr:row>
      <xdr:rowOff>9525</xdr:rowOff>
    </xdr:to>
    <xdr:graphicFrame macro="">
      <xdr:nvGraphicFramePr>
        <xdr:cNvPr id="14" name="14 Gráfico">
          <a:extLst>
            <a:ext uri="{FF2B5EF4-FFF2-40B4-BE49-F238E27FC236}">
              <a16:creationId xmlns:a16="http://schemas.microsoft.com/office/drawing/2014/main" id="{D2533314-6CC1-45E2-A903-B926ABA01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0.8088</cdr:x>
      <cdr:y>0.03413</cdr:y>
    </cdr:from>
    <cdr:to>
      <cdr:x>0.98399</cdr:x>
      <cdr:y>0.11085</cdr:y>
    </cdr:to>
    <cdr:pic>
      <cdr:nvPicPr>
        <cdr:cNvPr id="2" name="3 Imagen" descr="logoSanMarino_18.jpg">
          <a:extLst xmlns:a="http://schemas.openxmlformats.org/drawingml/2006/main">
            <a:ext uri="{FF2B5EF4-FFF2-40B4-BE49-F238E27FC236}">
              <a16:creationId xmlns:a16="http://schemas.microsoft.com/office/drawing/2014/main" id="{3BFF8024-405F-4741-9056-C2AD23E0A4B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670799" y="214085"/>
          <a:ext cx="1661584" cy="4812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684559" cy="630330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0.79486</cdr:x>
      <cdr:y>0.01229</cdr:y>
    </cdr:from>
    <cdr:to>
      <cdr:x>0.98693</cdr:x>
      <cdr:y>0.08901</cdr:y>
    </cdr:to>
    <cdr:pic>
      <cdr:nvPicPr>
        <cdr:cNvPr id="2" name="3 Imagen" descr="logoSanMarino_18.jpg">
          <a:extLst xmlns:a="http://schemas.openxmlformats.org/drawingml/2006/main">
            <a:ext uri="{FF2B5EF4-FFF2-40B4-BE49-F238E27FC236}">
              <a16:creationId xmlns:a16="http://schemas.microsoft.com/office/drawing/2014/main" id="{09117042-876E-44E4-99D3-921E7D63C90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877050" y="77259"/>
          <a:ext cx="1661732" cy="4820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684559" cy="630330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0.79486</cdr:x>
      <cdr:y>0.01651</cdr:y>
    </cdr:from>
    <cdr:to>
      <cdr:x>0.98693</cdr:x>
      <cdr:y>0.09323</cdr:y>
    </cdr:to>
    <cdr:pic>
      <cdr:nvPicPr>
        <cdr:cNvPr id="2" name="3 Imagen" descr="logoSanMarino_18.jpg">
          <a:extLst xmlns:a="http://schemas.openxmlformats.org/drawingml/2006/main">
            <a:ext uri="{FF2B5EF4-FFF2-40B4-BE49-F238E27FC236}">
              <a16:creationId xmlns:a16="http://schemas.microsoft.com/office/drawing/2014/main" id="{09117042-876E-44E4-99D3-921E7D63C90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877050" y="103717"/>
          <a:ext cx="1661732" cy="4820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510993" cy="630330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0.8088</cdr:x>
      <cdr:y>0.03413</cdr:y>
    </cdr:from>
    <cdr:to>
      <cdr:x>0.98399</cdr:x>
      <cdr:y>0.11085</cdr:y>
    </cdr:to>
    <cdr:pic>
      <cdr:nvPicPr>
        <cdr:cNvPr id="2" name="3 Imagen" descr="logoSanMarino_18.jpg">
          <a:extLst xmlns:a="http://schemas.openxmlformats.org/drawingml/2006/main">
            <a:ext uri="{FF2B5EF4-FFF2-40B4-BE49-F238E27FC236}">
              <a16:creationId xmlns:a16="http://schemas.microsoft.com/office/drawing/2014/main" id="{ED433029-26CD-425E-8305-494BA246C81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670799" y="214085"/>
          <a:ext cx="1661584" cy="4812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8684559" cy="630330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0.79792</cdr:x>
      <cdr:y>0.01229</cdr:y>
    </cdr:from>
    <cdr:to>
      <cdr:x>0.98999</cdr:x>
      <cdr:y>0.08901</cdr:y>
    </cdr:to>
    <cdr:pic>
      <cdr:nvPicPr>
        <cdr:cNvPr id="2" name="3 Imagen" descr="logoSanMarino_18.jpg">
          <a:extLst xmlns:a="http://schemas.openxmlformats.org/drawingml/2006/main">
            <a:ext uri="{FF2B5EF4-FFF2-40B4-BE49-F238E27FC236}">
              <a16:creationId xmlns:a16="http://schemas.microsoft.com/office/drawing/2014/main" id="{09117042-876E-44E4-99D3-921E7D63C90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903508" y="77258"/>
          <a:ext cx="1661732" cy="4820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8684559" cy="630330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ECEE58-644A-4622-BDC9-6BC20551233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0.8088</cdr:x>
      <cdr:y>0.03413</cdr:y>
    </cdr:from>
    <cdr:to>
      <cdr:x>0.98399</cdr:x>
      <cdr:y>0.11085</cdr:y>
    </cdr:to>
    <cdr:pic>
      <cdr:nvPicPr>
        <cdr:cNvPr id="2" name="3 Imagen" descr="logoSanMarino_18.jpg">
          <a:extLst xmlns:a="http://schemas.openxmlformats.org/drawingml/2006/main">
            <a:ext uri="{FF2B5EF4-FFF2-40B4-BE49-F238E27FC236}">
              <a16:creationId xmlns:a16="http://schemas.microsoft.com/office/drawing/2014/main" id="{3BFF8024-405F-4741-9056-C2AD23E0A4B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670799" y="214085"/>
          <a:ext cx="1661584" cy="4812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0.79486</cdr:x>
      <cdr:y>0.02493</cdr:y>
    </cdr:from>
    <cdr:to>
      <cdr:x>0.98693</cdr:x>
      <cdr:y>0.10165</cdr:y>
    </cdr:to>
    <cdr:pic>
      <cdr:nvPicPr>
        <cdr:cNvPr id="2" name="3 Imagen" descr="logoSanMarino_18.jpg">
          <a:extLst xmlns:a="http://schemas.openxmlformats.org/drawingml/2006/main">
            <a:ext uri="{FF2B5EF4-FFF2-40B4-BE49-F238E27FC236}">
              <a16:creationId xmlns:a16="http://schemas.microsoft.com/office/drawing/2014/main" id="{09117042-876E-44E4-99D3-921E7D63C90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877050" y="156633"/>
          <a:ext cx="1661732" cy="4820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8684559" cy="630330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DF4B90-F2B6-427A-9AAF-40A29CCACE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0.77957</cdr:x>
      <cdr:y>0.00808</cdr:y>
    </cdr:from>
    <cdr:to>
      <cdr:x>0.97164</cdr:x>
      <cdr:y>0.0848</cdr:y>
    </cdr:to>
    <cdr:pic>
      <cdr:nvPicPr>
        <cdr:cNvPr id="2" name="3 Imagen" descr="logoSanMarino_18.jpg">
          <a:extLst xmlns:a="http://schemas.openxmlformats.org/drawingml/2006/main">
            <a:ext uri="{FF2B5EF4-FFF2-40B4-BE49-F238E27FC236}">
              <a16:creationId xmlns:a16="http://schemas.microsoft.com/office/drawing/2014/main" id="{91EE65E4-C8A0-4EE1-AE99-5903379DCE9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744758" y="50800"/>
          <a:ext cx="1661766" cy="4820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0.8088</cdr:x>
      <cdr:y>0.03413</cdr:y>
    </cdr:from>
    <cdr:to>
      <cdr:x>0.98399</cdr:x>
      <cdr:y>0.11085</cdr:y>
    </cdr:to>
    <cdr:pic>
      <cdr:nvPicPr>
        <cdr:cNvPr id="2" name="3 Imagen" descr="logoSanMarino_18.jpg">
          <a:extLst xmlns:a="http://schemas.openxmlformats.org/drawingml/2006/main">
            <a:ext uri="{FF2B5EF4-FFF2-40B4-BE49-F238E27FC236}">
              <a16:creationId xmlns:a16="http://schemas.microsoft.com/office/drawing/2014/main" id="{ED433029-26CD-425E-8305-494BA246C81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670799" y="214085"/>
          <a:ext cx="1661584" cy="4812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3176</xdr:colOff>
      <xdr:row>0</xdr:row>
      <xdr:rowOff>11643</xdr:rowOff>
    </xdr:from>
    <xdr:to>
      <xdr:col>48</xdr:col>
      <xdr:colOff>487892</xdr:colOff>
      <xdr:row>11</xdr:row>
      <xdr:rowOff>200025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10584</xdr:colOff>
      <xdr:row>11</xdr:row>
      <xdr:rowOff>205317</xdr:rowOff>
    </xdr:from>
    <xdr:to>
      <xdr:col>48</xdr:col>
      <xdr:colOff>495300</xdr:colOff>
      <xdr:row>25</xdr:row>
      <xdr:rowOff>190500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39</xdr:col>
      <xdr:colOff>10584</xdr:colOff>
      <xdr:row>25</xdr:row>
      <xdr:rowOff>203201</xdr:rowOff>
    </xdr:from>
    <xdr:to>
      <xdr:col>48</xdr:col>
      <xdr:colOff>495300</xdr:colOff>
      <xdr:row>37</xdr:row>
      <xdr:rowOff>180976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9526</xdr:colOff>
      <xdr:row>37</xdr:row>
      <xdr:rowOff>192616</xdr:rowOff>
    </xdr:from>
    <xdr:to>
      <xdr:col>48</xdr:col>
      <xdr:colOff>494242</xdr:colOff>
      <xdr:row>49</xdr:row>
      <xdr:rowOff>190500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48</xdr:col>
      <xdr:colOff>514350</xdr:colOff>
      <xdr:row>37</xdr:row>
      <xdr:rowOff>180975</xdr:rowOff>
    </xdr:from>
    <xdr:to>
      <xdr:col>56</xdr:col>
      <xdr:colOff>666750</xdr:colOff>
      <xdr:row>49</xdr:row>
      <xdr:rowOff>180975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31749</xdr:colOff>
      <xdr:row>0</xdr:row>
      <xdr:rowOff>158745</xdr:rowOff>
    </xdr:from>
    <xdr:to>
      <xdr:col>2</xdr:col>
      <xdr:colOff>433916</xdr:colOff>
      <xdr:row>3</xdr:row>
      <xdr:rowOff>36782</xdr:rowOff>
    </xdr:to>
    <xdr:pic>
      <xdr:nvPicPr>
        <xdr:cNvPr id="17" name="3 Imagen" descr="logoSanMarino_18.jp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" y="158745"/>
          <a:ext cx="1661584" cy="481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39</xdr:col>
      <xdr:colOff>9525</xdr:colOff>
      <xdr:row>49</xdr:row>
      <xdr:rowOff>200026</xdr:rowOff>
    </xdr:from>
    <xdr:to>
      <xdr:col>48</xdr:col>
      <xdr:colOff>494241</xdr:colOff>
      <xdr:row>61</xdr:row>
      <xdr:rowOff>0</xdr:rowOff>
    </xdr:to>
    <xdr:graphicFrame macro="">
      <xdr:nvGraphicFramePr>
        <xdr:cNvPr id="10" name="4 Gráfico">
          <a:extLst>
            <a:ext uri="{FF2B5EF4-FFF2-40B4-BE49-F238E27FC236}">
              <a16:creationId xmlns:a16="http://schemas.microsoft.com/office/drawing/2014/main" id="{E14F9665-61B6-4695-A532-65C4FD8951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48</xdr:col>
      <xdr:colOff>495300</xdr:colOff>
      <xdr:row>0</xdr:row>
      <xdr:rowOff>9525</xdr:rowOff>
    </xdr:from>
    <xdr:to>
      <xdr:col>56</xdr:col>
      <xdr:colOff>666750</xdr:colOff>
      <xdr:row>11</xdr:row>
      <xdr:rowOff>200026</xdr:rowOff>
    </xdr:to>
    <xdr:graphicFrame macro="">
      <xdr:nvGraphicFramePr>
        <xdr:cNvPr id="12" name="Gráfico 1">
          <a:extLst>
            <a:ext uri="{FF2B5EF4-FFF2-40B4-BE49-F238E27FC236}">
              <a16:creationId xmlns:a16="http://schemas.microsoft.com/office/drawing/2014/main" id="{A0AF86B9-146B-4984-A2D0-1FFF80D2AA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48</xdr:col>
      <xdr:colOff>519111</xdr:colOff>
      <xdr:row>12</xdr:row>
      <xdr:rowOff>9525</xdr:rowOff>
    </xdr:from>
    <xdr:to>
      <xdr:col>56</xdr:col>
      <xdr:colOff>676274</xdr:colOff>
      <xdr:row>25</xdr:row>
      <xdr:rowOff>190501</xdr:rowOff>
    </xdr:to>
    <xdr:graphicFrame macro="">
      <xdr:nvGraphicFramePr>
        <xdr:cNvPr id="7" name="Gráfico 1">
          <a:extLst>
            <a:ext uri="{FF2B5EF4-FFF2-40B4-BE49-F238E27FC236}">
              <a16:creationId xmlns:a16="http://schemas.microsoft.com/office/drawing/2014/main" id="{4DD7EBFE-B809-429D-9A2C-707D9C4CE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48</xdr:col>
      <xdr:colOff>504825</xdr:colOff>
      <xdr:row>49</xdr:row>
      <xdr:rowOff>190500</xdr:rowOff>
    </xdr:from>
    <xdr:to>
      <xdr:col>56</xdr:col>
      <xdr:colOff>657225</xdr:colOff>
      <xdr:row>61</xdr:row>
      <xdr:rowOff>0</xdr:rowOff>
    </xdr:to>
    <xdr:graphicFrame macro="">
      <xdr:nvGraphicFramePr>
        <xdr:cNvPr id="16" name="7 Gráfico">
          <a:extLst>
            <a:ext uri="{FF2B5EF4-FFF2-40B4-BE49-F238E27FC236}">
              <a16:creationId xmlns:a16="http://schemas.microsoft.com/office/drawing/2014/main" id="{DABC167B-BB52-4044-AC95-F308E488B4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48</xdr:col>
      <xdr:colOff>514350</xdr:colOff>
      <xdr:row>25</xdr:row>
      <xdr:rowOff>200025</xdr:rowOff>
    </xdr:from>
    <xdr:to>
      <xdr:col>57</xdr:col>
      <xdr:colOff>0</xdr:colOff>
      <xdr:row>37</xdr:row>
      <xdr:rowOff>171450</xdr:rowOff>
    </xdr:to>
    <xdr:graphicFrame macro="">
      <xdr:nvGraphicFramePr>
        <xdr:cNvPr id="18" name="14 Gráfico">
          <a:extLst>
            <a:ext uri="{FF2B5EF4-FFF2-40B4-BE49-F238E27FC236}">
              <a16:creationId xmlns:a16="http://schemas.microsoft.com/office/drawing/2014/main" id="{0CE8B631-4549-4E09-B8D2-8323B9BF1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0.8088</cdr:x>
      <cdr:y>0.03413</cdr:y>
    </cdr:from>
    <cdr:to>
      <cdr:x>0.98399</cdr:x>
      <cdr:y>0.11085</cdr:y>
    </cdr:to>
    <cdr:pic>
      <cdr:nvPicPr>
        <cdr:cNvPr id="2" name="3 Imagen" descr="logoSanMarino_18.jpg">
          <a:extLst xmlns:a="http://schemas.openxmlformats.org/drawingml/2006/main">
            <a:ext uri="{FF2B5EF4-FFF2-40B4-BE49-F238E27FC236}">
              <a16:creationId xmlns:a16="http://schemas.microsoft.com/office/drawing/2014/main" id="{3BFF8024-405F-4741-9056-C2AD23E0A4B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670799" y="214085"/>
          <a:ext cx="1661584" cy="4812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0.8088</cdr:x>
      <cdr:y>0.03413</cdr:y>
    </cdr:from>
    <cdr:to>
      <cdr:x>0.98399</cdr:x>
      <cdr:y>0.11085</cdr:y>
    </cdr:to>
    <cdr:pic>
      <cdr:nvPicPr>
        <cdr:cNvPr id="2" name="3 Imagen" descr="logoSanMarino_18.jpg">
          <a:extLst xmlns:a="http://schemas.openxmlformats.org/drawingml/2006/main">
            <a:ext uri="{FF2B5EF4-FFF2-40B4-BE49-F238E27FC236}">
              <a16:creationId xmlns:a16="http://schemas.microsoft.com/office/drawing/2014/main" id="{ED433029-26CD-425E-8305-494BA246C81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670799" y="214085"/>
          <a:ext cx="1661584" cy="4812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3176</xdr:colOff>
      <xdr:row>0</xdr:row>
      <xdr:rowOff>11643</xdr:rowOff>
    </xdr:from>
    <xdr:to>
      <xdr:col>48</xdr:col>
      <xdr:colOff>487892</xdr:colOff>
      <xdr:row>11</xdr:row>
      <xdr:rowOff>200025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427E9537-39FB-4AFC-BB2F-AA82A5468F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10584</xdr:colOff>
      <xdr:row>11</xdr:row>
      <xdr:rowOff>205317</xdr:rowOff>
    </xdr:from>
    <xdr:to>
      <xdr:col>48</xdr:col>
      <xdr:colOff>495300</xdr:colOff>
      <xdr:row>25</xdr:row>
      <xdr:rowOff>190500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DBCA7F03-1E0D-481C-BFEB-40F1DAC03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39</xdr:col>
      <xdr:colOff>10584</xdr:colOff>
      <xdr:row>25</xdr:row>
      <xdr:rowOff>203201</xdr:rowOff>
    </xdr:from>
    <xdr:to>
      <xdr:col>48</xdr:col>
      <xdr:colOff>495300</xdr:colOff>
      <xdr:row>37</xdr:row>
      <xdr:rowOff>180976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DE490A24-8E28-4DE5-A8BE-813C7792DC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9526</xdr:colOff>
      <xdr:row>37</xdr:row>
      <xdr:rowOff>192616</xdr:rowOff>
    </xdr:from>
    <xdr:to>
      <xdr:col>48</xdr:col>
      <xdr:colOff>494242</xdr:colOff>
      <xdr:row>49</xdr:row>
      <xdr:rowOff>190500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47100B41-88EF-46FE-B714-DA3F9AE905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48</xdr:col>
      <xdr:colOff>514350</xdr:colOff>
      <xdr:row>37</xdr:row>
      <xdr:rowOff>180975</xdr:rowOff>
    </xdr:from>
    <xdr:to>
      <xdr:col>56</xdr:col>
      <xdr:colOff>666750</xdr:colOff>
      <xdr:row>49</xdr:row>
      <xdr:rowOff>180975</xdr:rowOff>
    </xdr:to>
    <xdr:graphicFrame macro="">
      <xdr:nvGraphicFramePr>
        <xdr:cNvPr id="6" name="7 Gráfico">
          <a:extLst>
            <a:ext uri="{FF2B5EF4-FFF2-40B4-BE49-F238E27FC236}">
              <a16:creationId xmlns:a16="http://schemas.microsoft.com/office/drawing/2014/main" id="{09FDE864-EC7B-4667-BB40-6D85FAFEF6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31749</xdr:colOff>
      <xdr:row>0</xdr:row>
      <xdr:rowOff>158745</xdr:rowOff>
    </xdr:from>
    <xdr:to>
      <xdr:col>2</xdr:col>
      <xdr:colOff>433916</xdr:colOff>
      <xdr:row>3</xdr:row>
      <xdr:rowOff>36782</xdr:rowOff>
    </xdr:to>
    <xdr:pic>
      <xdr:nvPicPr>
        <xdr:cNvPr id="7" name="3 Imagen" descr="logoSanMarino_18.jpg">
          <a:extLst>
            <a:ext uri="{FF2B5EF4-FFF2-40B4-BE49-F238E27FC236}">
              <a16:creationId xmlns:a16="http://schemas.microsoft.com/office/drawing/2014/main" id="{887B7B02-4443-4048-ACD9-0BBA968F8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" y="158745"/>
          <a:ext cx="1659467" cy="478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39</xdr:col>
      <xdr:colOff>9525</xdr:colOff>
      <xdr:row>49</xdr:row>
      <xdr:rowOff>200026</xdr:rowOff>
    </xdr:from>
    <xdr:to>
      <xdr:col>48</xdr:col>
      <xdr:colOff>494241</xdr:colOff>
      <xdr:row>61</xdr:row>
      <xdr:rowOff>0</xdr:rowOff>
    </xdr:to>
    <xdr:graphicFrame macro="">
      <xdr:nvGraphicFramePr>
        <xdr:cNvPr id="8" name="4 Gráfico">
          <a:extLst>
            <a:ext uri="{FF2B5EF4-FFF2-40B4-BE49-F238E27FC236}">
              <a16:creationId xmlns:a16="http://schemas.microsoft.com/office/drawing/2014/main" id="{59D4C042-8CDA-4FB8-BF01-D009D4DA62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48</xdr:col>
      <xdr:colOff>495300</xdr:colOff>
      <xdr:row>0</xdr:row>
      <xdr:rowOff>9525</xdr:rowOff>
    </xdr:from>
    <xdr:to>
      <xdr:col>56</xdr:col>
      <xdr:colOff>666750</xdr:colOff>
      <xdr:row>11</xdr:row>
      <xdr:rowOff>200026</xdr:rowOff>
    </xdr:to>
    <xdr:graphicFrame macro="">
      <xdr:nvGraphicFramePr>
        <xdr:cNvPr id="9" name="Gráfico 1">
          <a:extLst>
            <a:ext uri="{FF2B5EF4-FFF2-40B4-BE49-F238E27FC236}">
              <a16:creationId xmlns:a16="http://schemas.microsoft.com/office/drawing/2014/main" id="{7A936C80-7093-4547-A1C4-910FB6258D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48</xdr:col>
      <xdr:colOff>519111</xdr:colOff>
      <xdr:row>12</xdr:row>
      <xdr:rowOff>9525</xdr:rowOff>
    </xdr:from>
    <xdr:to>
      <xdr:col>56</xdr:col>
      <xdr:colOff>676274</xdr:colOff>
      <xdr:row>25</xdr:row>
      <xdr:rowOff>190501</xdr:rowOff>
    </xdr:to>
    <xdr:graphicFrame macro="">
      <xdr:nvGraphicFramePr>
        <xdr:cNvPr id="10" name="Gráfico 1">
          <a:extLst>
            <a:ext uri="{FF2B5EF4-FFF2-40B4-BE49-F238E27FC236}">
              <a16:creationId xmlns:a16="http://schemas.microsoft.com/office/drawing/2014/main" id="{C74C6DF3-942D-43C0-88C6-0B955AB2F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48</xdr:col>
      <xdr:colOff>504825</xdr:colOff>
      <xdr:row>49</xdr:row>
      <xdr:rowOff>190500</xdr:rowOff>
    </xdr:from>
    <xdr:to>
      <xdr:col>56</xdr:col>
      <xdr:colOff>657225</xdr:colOff>
      <xdr:row>61</xdr:row>
      <xdr:rowOff>0</xdr:rowOff>
    </xdr:to>
    <xdr:graphicFrame macro="">
      <xdr:nvGraphicFramePr>
        <xdr:cNvPr id="11" name="7 Gráfico">
          <a:extLst>
            <a:ext uri="{FF2B5EF4-FFF2-40B4-BE49-F238E27FC236}">
              <a16:creationId xmlns:a16="http://schemas.microsoft.com/office/drawing/2014/main" id="{AE654EF7-335E-4DAE-A2CA-481A01F32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48</xdr:col>
      <xdr:colOff>514350</xdr:colOff>
      <xdr:row>25</xdr:row>
      <xdr:rowOff>200025</xdr:rowOff>
    </xdr:from>
    <xdr:to>
      <xdr:col>57</xdr:col>
      <xdr:colOff>0</xdr:colOff>
      <xdr:row>37</xdr:row>
      <xdr:rowOff>171450</xdr:rowOff>
    </xdr:to>
    <xdr:graphicFrame macro="">
      <xdr:nvGraphicFramePr>
        <xdr:cNvPr id="12" name="14 Gráfico">
          <a:extLst>
            <a:ext uri="{FF2B5EF4-FFF2-40B4-BE49-F238E27FC236}">
              <a16:creationId xmlns:a16="http://schemas.microsoft.com/office/drawing/2014/main" id="{44A1B367-C88A-40E8-8C80-96DFCE3D6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0.8088</cdr:x>
      <cdr:y>0.03413</cdr:y>
    </cdr:from>
    <cdr:to>
      <cdr:x>0.98399</cdr:x>
      <cdr:y>0.11085</cdr:y>
    </cdr:to>
    <cdr:pic>
      <cdr:nvPicPr>
        <cdr:cNvPr id="2" name="3 Imagen" descr="logoSanMarino_18.jpg">
          <a:extLst xmlns:a="http://schemas.openxmlformats.org/drawingml/2006/main">
            <a:ext uri="{FF2B5EF4-FFF2-40B4-BE49-F238E27FC236}">
              <a16:creationId xmlns:a16="http://schemas.microsoft.com/office/drawing/2014/main" id="{3BFF8024-405F-4741-9056-C2AD23E0A4B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670799" y="214085"/>
          <a:ext cx="1661584" cy="4812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sanmarino.com.co/" TargetMode="External"/><Relationship Id="rId1" Type="http://schemas.openxmlformats.org/officeDocument/2006/relationships/hyperlink" Target="http://www.sanmarino.com.co/" TargetMode="External"/><Relationship Id="rId4" Type="http://schemas.openxmlformats.org/officeDocument/2006/relationships/drawing" Target="../drawings/drawing1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4D1E-0F5E-4798-9AAA-6ABF7931F2D0}">
  <sheetPr codeName="Hoja4"/>
  <dimension ref="B1:J61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baseColWidth="10" defaultColWidth="12" defaultRowHeight="12.75" x14ac:dyDescent="0.2"/>
  <cols>
    <col min="1" max="1" width="4" style="706" customWidth="1"/>
    <col min="2" max="2" width="10.1640625" style="706" customWidth="1"/>
    <col min="3" max="3" width="10.1640625" style="706" bestFit="1" customWidth="1"/>
    <col min="4" max="4" width="9.83203125" style="706" bestFit="1" customWidth="1"/>
    <col min="5" max="5" width="10" style="706" bestFit="1" customWidth="1"/>
    <col min="6" max="6" width="9.6640625" style="706" bestFit="1" customWidth="1"/>
    <col min="7" max="7" width="11.33203125" style="706" bestFit="1" customWidth="1"/>
    <col min="8" max="8" width="11.1640625" style="706" customWidth="1"/>
    <col min="9" max="9" width="12" style="706"/>
    <col min="10" max="10" width="15.1640625" style="706" bestFit="1" customWidth="1"/>
    <col min="11" max="16384" width="12" style="706"/>
  </cols>
  <sheetData>
    <row r="1" spans="2:10" ht="13.5" thickBot="1" x14ac:dyDescent="0.25"/>
    <row r="2" spans="2:10" ht="16.5" thickBot="1" x14ac:dyDescent="0.3">
      <c r="B2" s="707" t="s">
        <v>130</v>
      </c>
      <c r="C2" s="753">
        <f>'G1'!Q2</f>
        <v>0</v>
      </c>
      <c r="D2" s="754"/>
      <c r="E2" s="754"/>
      <c r="F2" s="754"/>
      <c r="G2" s="754"/>
      <c r="H2" s="755"/>
    </row>
    <row r="3" spans="2:10" ht="15.75" thickBot="1" x14ac:dyDescent="0.3">
      <c r="B3" s="708" t="s">
        <v>190</v>
      </c>
      <c r="C3" s="709" t="s">
        <v>191</v>
      </c>
      <c r="D3" s="710" t="s">
        <v>192</v>
      </c>
      <c r="E3" s="711" t="s">
        <v>193</v>
      </c>
      <c r="F3" s="712" t="s">
        <v>194</v>
      </c>
      <c r="G3" s="713" t="s">
        <v>195</v>
      </c>
      <c r="H3" s="714" t="s">
        <v>196</v>
      </c>
      <c r="J3" s="705" t="s">
        <v>130</v>
      </c>
    </row>
    <row r="4" spans="2:10" ht="13.5" thickTop="1" x14ac:dyDescent="0.2">
      <c r="B4" s="715">
        <v>1</v>
      </c>
      <c r="C4" s="716">
        <f ca="1">SUMIF(TK!$C$2:$AF$2,TGsh!$C$2,TK!C4:AA4)</f>
        <v>0</v>
      </c>
      <c r="D4" s="717">
        <f ca="1">SUMIF(TK!$C$2:$AF$2,TGsh!$C$2,TK!D4:AB4)</f>
        <v>0</v>
      </c>
      <c r="E4" s="718">
        <f ca="1">SUMIF(TK!$C$2:$AF$2,TGsh!$C$2,TK!E4:AC4)</f>
        <v>0</v>
      </c>
      <c r="F4" s="719">
        <f ca="1">SUMIF(TK!$C$2:$AF$2,TGsh!$C$2,TK!F4:AD4)</f>
        <v>0</v>
      </c>
      <c r="G4" s="720">
        <f ca="1">SUMIF(TK!$C$2:$AF$2,TGsh!$C$2,TK!G4:AE4)</f>
        <v>0</v>
      </c>
      <c r="H4" s="721">
        <f ca="1">SUMIF(TK!$C$2:$AF$2,TGsh!$C$2,TK!H4:AF4)</f>
        <v>0</v>
      </c>
      <c r="J4" s="252" t="str">
        <f>TK!O2</f>
        <v>ROSS 308 AP</v>
      </c>
    </row>
    <row r="5" spans="2:10" x14ac:dyDescent="0.2">
      <c r="B5" s="715">
        <f>B4+1</f>
        <v>2</v>
      </c>
      <c r="C5" s="722">
        <f ca="1">SUMIF(TK!$C$2:$AF$2,TGsh!$C$2,TK!C5:AA5)</f>
        <v>0</v>
      </c>
      <c r="D5" s="723">
        <f ca="1">SUMIF(TK!$C$2:$AF$2,TGsh!$C$2,TK!D5:AB5)</f>
        <v>0</v>
      </c>
      <c r="E5" s="724">
        <f ca="1">SUMIF(TK!$C$2:$AF$2,TGsh!$C$2,TK!E5:AC5)</f>
        <v>0</v>
      </c>
      <c r="F5" s="725">
        <f ca="1">SUMIF(TK!$C$2:$AF$2,TGsh!$C$2,TK!F5:AD5)</f>
        <v>0</v>
      </c>
      <c r="G5" s="726">
        <f ca="1">SUMIF(TK!$C$2:$AF$2,TGsh!$C$2,TK!G5:AE5)</f>
        <v>0</v>
      </c>
      <c r="H5" s="727">
        <f ca="1">SUMIF(TK!$C$2:$AF$2,TGsh!$C$2,TK!H5:AF5)</f>
        <v>0</v>
      </c>
      <c r="J5" s="252" t="str">
        <f>TK!C2</f>
        <v>COBB 500</v>
      </c>
    </row>
    <row r="6" spans="2:10" x14ac:dyDescent="0.2">
      <c r="B6" s="715">
        <f t="shared" ref="B6:B59" si="0">B5+1</f>
        <v>3</v>
      </c>
      <c r="C6" s="722">
        <f ca="1">SUMIF(TK!$C$2:$AF$2,TGsh!$C$2,TK!C6:AA6)</f>
        <v>0</v>
      </c>
      <c r="D6" s="723">
        <f ca="1">SUMIF(TK!$C$2:$AF$2,TGsh!$C$2,TK!D6:AB6)</f>
        <v>0</v>
      </c>
      <c r="E6" s="724">
        <f ca="1">SUMIF(TK!$C$2:$AF$2,TGsh!$C$2,TK!E6:AC6)</f>
        <v>0</v>
      </c>
      <c r="F6" s="725">
        <f ca="1">SUMIF(TK!$C$2:$AF$2,TGsh!$C$2,TK!F6:AD6)</f>
        <v>0</v>
      </c>
      <c r="G6" s="726">
        <f ca="1">SUMIF(TK!$C$2:$AF$2,TGsh!$C$2,TK!G6:AE6)</f>
        <v>0</v>
      </c>
      <c r="H6" s="727">
        <f ca="1">SUMIF(TK!$C$2:$AF$2,TGsh!$C$2,TK!H6:AF6)</f>
        <v>0</v>
      </c>
      <c r="J6" s="253" t="str">
        <f>TK!I2</f>
        <v>ROSS 308</v>
      </c>
    </row>
    <row r="7" spans="2:10" x14ac:dyDescent="0.2">
      <c r="B7" s="715">
        <f t="shared" si="0"/>
        <v>4</v>
      </c>
      <c r="C7" s="722">
        <f ca="1">SUMIF(TK!$C$2:$AF$2,TGsh!$C$2,TK!C7:AA7)</f>
        <v>0</v>
      </c>
      <c r="D7" s="723">
        <f ca="1">SUMIF(TK!$C$2:$AF$2,TGsh!$C$2,TK!D7:AB7)</f>
        <v>0</v>
      </c>
      <c r="E7" s="724">
        <f ca="1">SUMIF(TK!$C$2:$AF$2,TGsh!$C$2,TK!E7:AC7)</f>
        <v>0</v>
      </c>
      <c r="F7" s="725">
        <f ca="1">SUMIF(TK!$C$2:$AF$2,TGsh!$C$2,TK!F7:AD7)</f>
        <v>0</v>
      </c>
      <c r="G7" s="726">
        <f ca="1">SUMIF(TK!$C$2:$AF$2,TGsh!$C$2,TK!G7:AE7)</f>
        <v>0</v>
      </c>
      <c r="H7" s="727">
        <f ca="1">SUMIF(TK!$C$2:$AF$2,TGsh!$C$2,TK!H7:AF7)</f>
        <v>0</v>
      </c>
      <c r="J7" s="253" t="str">
        <f>TK!U2</f>
        <v>Tabla Propia 1</v>
      </c>
    </row>
    <row r="8" spans="2:10" x14ac:dyDescent="0.2">
      <c r="B8" s="715">
        <f t="shared" si="0"/>
        <v>5</v>
      </c>
      <c r="C8" s="722">
        <f ca="1">SUMIF(TK!$C$2:$AF$2,TGsh!$C$2,TK!C8:AA8)</f>
        <v>0</v>
      </c>
      <c r="D8" s="723">
        <f ca="1">SUMIF(TK!$C$2:$AF$2,TGsh!$C$2,TK!D8:AB8)</f>
        <v>0</v>
      </c>
      <c r="E8" s="724">
        <f ca="1">SUMIF(TK!$C$2:$AF$2,TGsh!$C$2,TK!E8:AC8)</f>
        <v>0</v>
      </c>
      <c r="F8" s="725">
        <f ca="1">SUMIF(TK!$C$2:$AF$2,TGsh!$C$2,TK!F8:AD8)</f>
        <v>0</v>
      </c>
      <c r="G8" s="726">
        <f ca="1">SUMIF(TK!$C$2:$AF$2,TGsh!$C$2,TK!G8:AE8)</f>
        <v>0</v>
      </c>
      <c r="H8" s="727">
        <f ca="1">SUMIF(TK!$C$2:$AF$2,TGsh!$C$2,TK!H8:AF8)</f>
        <v>0</v>
      </c>
      <c r="J8" s="254" t="str">
        <f>TK!AA2</f>
        <v>Tabla Propia 2</v>
      </c>
    </row>
    <row r="9" spans="2:10" x14ac:dyDescent="0.2">
      <c r="B9" s="715">
        <f t="shared" si="0"/>
        <v>6</v>
      </c>
      <c r="C9" s="722">
        <f ca="1">SUMIF(TK!$C$2:$AF$2,TGsh!$C$2,TK!C9:AA9)</f>
        <v>0</v>
      </c>
      <c r="D9" s="723">
        <f ca="1">SUMIF(TK!$C$2:$AF$2,TGsh!$C$2,TK!D9:AB9)</f>
        <v>0</v>
      </c>
      <c r="E9" s="724">
        <f ca="1">SUMIF(TK!$C$2:$AF$2,TGsh!$C$2,TK!E9:AC9)</f>
        <v>0</v>
      </c>
      <c r="F9" s="725">
        <f ca="1">SUMIF(TK!$C$2:$AF$2,TGsh!$C$2,TK!F9:AD9)</f>
        <v>0</v>
      </c>
      <c r="G9" s="726">
        <f ca="1">SUMIF(TK!$C$2:$AF$2,TGsh!$C$2,TK!G9:AE9)</f>
        <v>0</v>
      </c>
      <c r="H9" s="727">
        <f ca="1">SUMIF(TK!$C$2:$AF$2,TGsh!$C$2,TK!H9:AF9)</f>
        <v>0</v>
      </c>
    </row>
    <row r="10" spans="2:10" x14ac:dyDescent="0.2">
      <c r="B10" s="715">
        <f t="shared" si="0"/>
        <v>7</v>
      </c>
      <c r="C10" s="722">
        <f ca="1">SUMIF(TK!$C$2:$AF$2,TGsh!$C$2,TK!C10:AA10)</f>
        <v>0</v>
      </c>
      <c r="D10" s="723">
        <f ca="1">SUMIF(TK!$C$2:$AF$2,TGsh!$C$2,TK!D10:AB10)</f>
        <v>0</v>
      </c>
      <c r="E10" s="724">
        <f ca="1">SUMIF(TK!$C$2:$AF$2,TGsh!$C$2,TK!E10:AC10)</f>
        <v>0</v>
      </c>
      <c r="F10" s="725">
        <f ca="1">SUMIF(TK!$C$2:$AF$2,TGsh!$C$2,TK!F10:AD10)</f>
        <v>0</v>
      </c>
      <c r="G10" s="726">
        <f ca="1">SUMIF(TK!$C$2:$AF$2,TGsh!$C$2,TK!G10:AE10)</f>
        <v>0</v>
      </c>
      <c r="H10" s="728">
        <f ca="1">SUMIF(TK!$C$2:$AF$2,TGsh!$C$2,TK!H10:AF10)</f>
        <v>0</v>
      </c>
    </row>
    <row r="11" spans="2:10" x14ac:dyDescent="0.2">
      <c r="B11" s="715">
        <f t="shared" si="0"/>
        <v>8</v>
      </c>
      <c r="C11" s="722">
        <f ca="1">SUMIF(TK!$C$2:$AF$2,TGsh!$C$2,TK!C11:AA11)</f>
        <v>0</v>
      </c>
      <c r="D11" s="723">
        <f ca="1">SUMIF(TK!$C$2:$AF$2,TGsh!$C$2,TK!D11:AB11)</f>
        <v>0</v>
      </c>
      <c r="E11" s="724">
        <f ca="1">SUMIF(TK!$C$2:$AF$2,TGsh!$C$2,TK!E11:AC11)</f>
        <v>0</v>
      </c>
      <c r="F11" s="725">
        <f ca="1">SUMIF(TK!$C$2:$AF$2,TGsh!$C$2,TK!F11:AD11)</f>
        <v>0</v>
      </c>
      <c r="G11" s="726">
        <f ca="1">SUMIF(TK!$C$2:$AF$2,TGsh!$C$2,TK!G11:AE11)</f>
        <v>0</v>
      </c>
      <c r="H11" s="727">
        <f ca="1">SUMIF(TK!$C$2:$AF$2,TGsh!$C$2,TK!H11:AF11)</f>
        <v>0</v>
      </c>
    </row>
    <row r="12" spans="2:10" x14ac:dyDescent="0.2">
      <c r="B12" s="715">
        <f t="shared" si="0"/>
        <v>9</v>
      </c>
      <c r="C12" s="722">
        <f ca="1">SUMIF(TK!$C$2:$AF$2,TGsh!$C$2,TK!C12:AA12)</f>
        <v>0</v>
      </c>
      <c r="D12" s="723">
        <f ca="1">SUMIF(TK!$C$2:$AF$2,TGsh!$C$2,TK!D12:AB12)</f>
        <v>0</v>
      </c>
      <c r="E12" s="724">
        <f ca="1">SUMIF(TK!$C$2:$AF$2,TGsh!$C$2,TK!E12:AC12)</f>
        <v>0</v>
      </c>
      <c r="F12" s="725">
        <f ca="1">SUMIF(TK!$C$2:$AF$2,TGsh!$C$2,TK!F12:AD12)</f>
        <v>0</v>
      </c>
      <c r="G12" s="726">
        <f ca="1">SUMIF(TK!$C$2:$AF$2,TGsh!$C$2,TK!G12:AE12)</f>
        <v>0</v>
      </c>
      <c r="H12" s="727">
        <f ca="1">SUMIF(TK!$C$2:$AF$2,TGsh!$C$2,TK!H12:AF12)</f>
        <v>0</v>
      </c>
    </row>
    <row r="13" spans="2:10" x14ac:dyDescent="0.2">
      <c r="B13" s="715">
        <f t="shared" si="0"/>
        <v>10</v>
      </c>
      <c r="C13" s="722">
        <f ca="1">SUMIF(TK!$C$2:$AF$2,TGsh!$C$2,TK!C13:AA13)</f>
        <v>0</v>
      </c>
      <c r="D13" s="723">
        <f ca="1">SUMIF(TK!$C$2:$AF$2,TGsh!$C$2,TK!D13:AB13)</f>
        <v>0</v>
      </c>
      <c r="E13" s="724">
        <f ca="1">SUMIF(TK!$C$2:$AF$2,TGsh!$C$2,TK!E13:AC13)</f>
        <v>0</v>
      </c>
      <c r="F13" s="725">
        <f ca="1">SUMIF(TK!$C$2:$AF$2,TGsh!$C$2,TK!F13:AD13)</f>
        <v>0</v>
      </c>
      <c r="G13" s="726">
        <f ca="1">SUMIF(TK!$C$2:$AF$2,TGsh!$C$2,TK!G13:AE13)</f>
        <v>0</v>
      </c>
      <c r="H13" s="727">
        <f ca="1">SUMIF(TK!$C$2:$AF$2,TGsh!$C$2,TK!H13:AF13)</f>
        <v>0</v>
      </c>
    </row>
    <row r="14" spans="2:10" x14ac:dyDescent="0.2">
      <c r="B14" s="715">
        <f t="shared" si="0"/>
        <v>11</v>
      </c>
      <c r="C14" s="722">
        <f ca="1">SUMIF(TK!$C$2:$AF$2,TGsh!$C$2,TK!C14:AA14)</f>
        <v>0</v>
      </c>
      <c r="D14" s="723">
        <f ca="1">SUMIF(TK!$C$2:$AF$2,TGsh!$C$2,TK!D14:AB14)</f>
        <v>0</v>
      </c>
      <c r="E14" s="724">
        <f ca="1">SUMIF(TK!$C$2:$AF$2,TGsh!$C$2,TK!E14:AC14)</f>
        <v>0</v>
      </c>
      <c r="F14" s="725">
        <f ca="1">SUMIF(TK!$C$2:$AF$2,TGsh!$C$2,TK!F14:AD14)</f>
        <v>0</v>
      </c>
      <c r="G14" s="726">
        <f ca="1">SUMIF(TK!$C$2:$AF$2,TGsh!$C$2,TK!G14:AE14)</f>
        <v>0</v>
      </c>
      <c r="H14" s="727">
        <f ca="1">SUMIF(TK!$C$2:$AF$2,TGsh!$C$2,TK!H14:AF14)</f>
        <v>0</v>
      </c>
    </row>
    <row r="15" spans="2:10" x14ac:dyDescent="0.2">
      <c r="B15" s="715">
        <f t="shared" si="0"/>
        <v>12</v>
      </c>
      <c r="C15" s="722">
        <f ca="1">SUMIF(TK!$C$2:$AF$2,TGsh!$C$2,TK!C15:AA15)</f>
        <v>0</v>
      </c>
      <c r="D15" s="723">
        <f ca="1">SUMIF(TK!$C$2:$AF$2,TGsh!$C$2,TK!D15:AB15)</f>
        <v>0</v>
      </c>
      <c r="E15" s="724">
        <f ca="1">SUMIF(TK!$C$2:$AF$2,TGsh!$C$2,TK!E15:AC15)</f>
        <v>0</v>
      </c>
      <c r="F15" s="725">
        <f ca="1">SUMIF(TK!$C$2:$AF$2,TGsh!$C$2,TK!F15:AD15)</f>
        <v>0</v>
      </c>
      <c r="G15" s="726">
        <f ca="1">SUMIF(TK!$C$2:$AF$2,TGsh!$C$2,TK!G15:AE15)</f>
        <v>0</v>
      </c>
      <c r="H15" s="727">
        <f ca="1">SUMIF(TK!$C$2:$AF$2,TGsh!$C$2,TK!H15:AF15)</f>
        <v>0</v>
      </c>
    </row>
    <row r="16" spans="2:10" x14ac:dyDescent="0.2">
      <c r="B16" s="715">
        <f t="shared" si="0"/>
        <v>13</v>
      </c>
      <c r="C16" s="722">
        <f ca="1">SUMIF(TK!$C$2:$AF$2,TGsh!$C$2,TK!C16:AA16)</f>
        <v>0</v>
      </c>
      <c r="D16" s="723">
        <f ca="1">SUMIF(TK!$C$2:$AF$2,TGsh!$C$2,TK!D16:AB16)</f>
        <v>0</v>
      </c>
      <c r="E16" s="724">
        <f ca="1">SUMIF(TK!$C$2:$AF$2,TGsh!$C$2,TK!E16:AC16)</f>
        <v>0</v>
      </c>
      <c r="F16" s="725">
        <f ca="1">SUMIF(TK!$C$2:$AF$2,TGsh!$C$2,TK!F16:AD16)</f>
        <v>0</v>
      </c>
      <c r="G16" s="726">
        <f ca="1">SUMIF(TK!$C$2:$AF$2,TGsh!$C$2,TK!G16:AE16)</f>
        <v>0</v>
      </c>
      <c r="H16" s="727">
        <f ca="1">SUMIF(TK!$C$2:$AF$2,TGsh!$C$2,TK!H16:AF16)</f>
        <v>0</v>
      </c>
    </row>
    <row r="17" spans="2:8" x14ac:dyDescent="0.2">
      <c r="B17" s="715">
        <f t="shared" si="0"/>
        <v>14</v>
      </c>
      <c r="C17" s="722">
        <f ca="1">SUMIF(TK!$C$2:$AF$2,TGsh!$C$2,TK!C17:AA17)</f>
        <v>0</v>
      </c>
      <c r="D17" s="723">
        <f ca="1">SUMIF(TK!$C$2:$AF$2,TGsh!$C$2,TK!D17:AB17)</f>
        <v>0</v>
      </c>
      <c r="E17" s="724">
        <f ca="1">SUMIF(TK!$C$2:$AF$2,TGsh!$C$2,TK!E17:AC17)</f>
        <v>0</v>
      </c>
      <c r="F17" s="725">
        <f ca="1">SUMIF(TK!$C$2:$AF$2,TGsh!$C$2,TK!F17:AD17)</f>
        <v>0</v>
      </c>
      <c r="G17" s="726">
        <f ca="1">SUMIF(TK!$C$2:$AF$2,TGsh!$C$2,TK!G17:AE17)</f>
        <v>0</v>
      </c>
      <c r="H17" s="728">
        <f ca="1">SUMIF(TK!$C$2:$AF$2,TGsh!$C$2,TK!H17:AF17)</f>
        <v>0</v>
      </c>
    </row>
    <row r="18" spans="2:8" x14ac:dyDescent="0.2">
      <c r="B18" s="715">
        <f t="shared" si="0"/>
        <v>15</v>
      </c>
      <c r="C18" s="722">
        <f ca="1">SUMIF(TK!$C$2:$AF$2,TGsh!$C$2,TK!C18:AA18)</f>
        <v>0</v>
      </c>
      <c r="D18" s="723">
        <f ca="1">SUMIF(TK!$C$2:$AF$2,TGsh!$C$2,TK!D18:AB18)</f>
        <v>0</v>
      </c>
      <c r="E18" s="724">
        <f ca="1">SUMIF(TK!$C$2:$AF$2,TGsh!$C$2,TK!E18:AC18)</f>
        <v>0</v>
      </c>
      <c r="F18" s="725">
        <f ca="1">SUMIF(TK!$C$2:$AF$2,TGsh!$C$2,TK!F18:AD18)</f>
        <v>0</v>
      </c>
      <c r="G18" s="726">
        <f ca="1">SUMIF(TK!$C$2:$AF$2,TGsh!$C$2,TK!G18:AE18)</f>
        <v>0</v>
      </c>
      <c r="H18" s="727">
        <f ca="1">SUMIF(TK!$C$2:$AF$2,TGsh!$C$2,TK!H18:AF18)</f>
        <v>0</v>
      </c>
    </row>
    <row r="19" spans="2:8" x14ac:dyDescent="0.2">
      <c r="B19" s="715">
        <f t="shared" si="0"/>
        <v>16</v>
      </c>
      <c r="C19" s="722">
        <f ca="1">SUMIF(TK!$C$2:$AF$2,TGsh!$C$2,TK!C19:AA19)</f>
        <v>0</v>
      </c>
      <c r="D19" s="723">
        <f ca="1">SUMIF(TK!$C$2:$AF$2,TGsh!$C$2,TK!D19:AB19)</f>
        <v>0</v>
      </c>
      <c r="E19" s="724">
        <f ca="1">SUMIF(TK!$C$2:$AF$2,TGsh!$C$2,TK!E19:AC19)</f>
        <v>0</v>
      </c>
      <c r="F19" s="725">
        <f ca="1">SUMIF(TK!$C$2:$AF$2,TGsh!$C$2,TK!F19:AD19)</f>
        <v>0</v>
      </c>
      <c r="G19" s="726">
        <f ca="1">SUMIF(TK!$C$2:$AF$2,TGsh!$C$2,TK!G19:AE19)</f>
        <v>0</v>
      </c>
      <c r="H19" s="727">
        <f ca="1">SUMIF(TK!$C$2:$AF$2,TGsh!$C$2,TK!H19:AF19)</f>
        <v>0</v>
      </c>
    </row>
    <row r="20" spans="2:8" x14ac:dyDescent="0.2">
      <c r="B20" s="715">
        <f t="shared" si="0"/>
        <v>17</v>
      </c>
      <c r="C20" s="722">
        <f ca="1">SUMIF(TK!$C$2:$AF$2,TGsh!$C$2,TK!C20:AA20)</f>
        <v>0</v>
      </c>
      <c r="D20" s="723">
        <f ca="1">SUMIF(TK!$C$2:$AF$2,TGsh!$C$2,TK!D20:AB20)</f>
        <v>0</v>
      </c>
      <c r="E20" s="724">
        <f ca="1">SUMIF(TK!$C$2:$AF$2,TGsh!$C$2,TK!E20:AC20)</f>
        <v>0</v>
      </c>
      <c r="F20" s="725">
        <f ca="1">SUMIF(TK!$C$2:$AF$2,TGsh!$C$2,TK!F20:AD20)</f>
        <v>0</v>
      </c>
      <c r="G20" s="726">
        <f ca="1">SUMIF(TK!$C$2:$AF$2,TGsh!$C$2,TK!G20:AE20)</f>
        <v>0</v>
      </c>
      <c r="H20" s="727">
        <f ca="1">SUMIF(TK!$C$2:$AF$2,TGsh!$C$2,TK!H20:AF20)</f>
        <v>0</v>
      </c>
    </row>
    <row r="21" spans="2:8" x14ac:dyDescent="0.2">
      <c r="B21" s="715">
        <f t="shared" si="0"/>
        <v>18</v>
      </c>
      <c r="C21" s="722">
        <f ca="1">SUMIF(TK!$C$2:$AF$2,TGsh!$C$2,TK!C21:AA21)</f>
        <v>0</v>
      </c>
      <c r="D21" s="723">
        <f ca="1">SUMIF(TK!$C$2:$AF$2,TGsh!$C$2,TK!D21:AB21)</f>
        <v>0</v>
      </c>
      <c r="E21" s="724">
        <f ca="1">SUMIF(TK!$C$2:$AF$2,TGsh!$C$2,TK!E21:AC21)</f>
        <v>0</v>
      </c>
      <c r="F21" s="725">
        <f ca="1">SUMIF(TK!$C$2:$AF$2,TGsh!$C$2,TK!F21:AD21)</f>
        <v>0</v>
      </c>
      <c r="G21" s="726">
        <f ca="1">SUMIF(TK!$C$2:$AF$2,TGsh!$C$2,TK!G21:AE21)</f>
        <v>0</v>
      </c>
      <c r="H21" s="727">
        <f ca="1">SUMIF(TK!$C$2:$AF$2,TGsh!$C$2,TK!H21:AF21)</f>
        <v>0</v>
      </c>
    </row>
    <row r="22" spans="2:8" x14ac:dyDescent="0.2">
      <c r="B22" s="715">
        <f t="shared" si="0"/>
        <v>19</v>
      </c>
      <c r="C22" s="722">
        <f ca="1">SUMIF(TK!$C$2:$AF$2,TGsh!$C$2,TK!C22:AA22)</f>
        <v>0</v>
      </c>
      <c r="D22" s="723">
        <f ca="1">SUMIF(TK!$C$2:$AF$2,TGsh!$C$2,TK!D22:AB22)</f>
        <v>0</v>
      </c>
      <c r="E22" s="724">
        <f ca="1">SUMIF(TK!$C$2:$AF$2,TGsh!$C$2,TK!E22:AC22)</f>
        <v>0</v>
      </c>
      <c r="F22" s="725">
        <f ca="1">SUMIF(TK!$C$2:$AF$2,TGsh!$C$2,TK!F22:AD22)</f>
        <v>0</v>
      </c>
      <c r="G22" s="726">
        <f ca="1">SUMIF(TK!$C$2:$AF$2,TGsh!$C$2,TK!G22:AE22)</f>
        <v>0</v>
      </c>
      <c r="H22" s="727">
        <f ca="1">SUMIF(TK!$C$2:$AF$2,TGsh!$C$2,TK!H22:AF22)</f>
        <v>0</v>
      </c>
    </row>
    <row r="23" spans="2:8" x14ac:dyDescent="0.2">
      <c r="B23" s="715">
        <f t="shared" si="0"/>
        <v>20</v>
      </c>
      <c r="C23" s="722">
        <f ca="1">SUMIF(TK!$C$2:$AF$2,TGsh!$C$2,TK!C23:AA23)</f>
        <v>0</v>
      </c>
      <c r="D23" s="723">
        <f ca="1">SUMIF(TK!$C$2:$AF$2,TGsh!$C$2,TK!D23:AB23)</f>
        <v>0</v>
      </c>
      <c r="E23" s="724">
        <f ca="1">SUMIF(TK!$C$2:$AF$2,TGsh!$C$2,TK!E23:AC23)</f>
        <v>0</v>
      </c>
      <c r="F23" s="725">
        <f ca="1">SUMIF(TK!$C$2:$AF$2,TGsh!$C$2,TK!F23:AD23)</f>
        <v>0</v>
      </c>
      <c r="G23" s="726">
        <f ca="1">SUMIF(TK!$C$2:$AF$2,TGsh!$C$2,TK!G23:AE23)</f>
        <v>0</v>
      </c>
      <c r="H23" s="727">
        <f ca="1">SUMIF(TK!$C$2:$AF$2,TGsh!$C$2,TK!H23:AF23)</f>
        <v>0</v>
      </c>
    </row>
    <row r="24" spans="2:8" x14ac:dyDescent="0.2">
      <c r="B24" s="715">
        <f t="shared" si="0"/>
        <v>21</v>
      </c>
      <c r="C24" s="722">
        <f ca="1">SUMIF(TK!$C$2:$AF$2,TGsh!$C$2,TK!C24:AA24)</f>
        <v>0</v>
      </c>
      <c r="D24" s="723">
        <f ca="1">SUMIF(TK!$C$2:$AF$2,TGsh!$C$2,TK!D24:AB24)</f>
        <v>0</v>
      </c>
      <c r="E24" s="724">
        <f ca="1">SUMIF(TK!$C$2:$AF$2,TGsh!$C$2,TK!E24:AC24)</f>
        <v>0</v>
      </c>
      <c r="F24" s="725">
        <f ca="1">SUMIF(TK!$C$2:$AF$2,TGsh!$C$2,TK!F24:AD24)</f>
        <v>0</v>
      </c>
      <c r="G24" s="726">
        <f ca="1">SUMIF(TK!$C$2:$AF$2,TGsh!$C$2,TK!G24:AE24)</f>
        <v>0</v>
      </c>
      <c r="H24" s="728">
        <f ca="1">SUMIF(TK!$C$2:$AF$2,TGsh!$C$2,TK!H24:AF24)</f>
        <v>0</v>
      </c>
    </row>
    <row r="25" spans="2:8" x14ac:dyDescent="0.2">
      <c r="B25" s="715">
        <f t="shared" si="0"/>
        <v>22</v>
      </c>
      <c r="C25" s="722">
        <f ca="1">SUMIF(TK!$C$2:$AF$2,TGsh!$C$2,TK!C25:AA25)</f>
        <v>0</v>
      </c>
      <c r="D25" s="723">
        <f ca="1">SUMIF(TK!$C$2:$AF$2,TGsh!$C$2,TK!D25:AB25)</f>
        <v>0</v>
      </c>
      <c r="E25" s="724">
        <f ca="1">SUMIF(TK!$C$2:$AF$2,TGsh!$C$2,TK!E25:AC25)</f>
        <v>0</v>
      </c>
      <c r="F25" s="725">
        <f ca="1">SUMIF(TK!$C$2:$AF$2,TGsh!$C$2,TK!F25:AD25)</f>
        <v>0</v>
      </c>
      <c r="G25" s="726">
        <f ca="1">SUMIF(TK!$C$2:$AF$2,TGsh!$C$2,TK!G25:AE25)</f>
        <v>0</v>
      </c>
      <c r="H25" s="727">
        <f ca="1">SUMIF(TK!$C$2:$AF$2,TGsh!$C$2,TK!H25:AF25)</f>
        <v>0</v>
      </c>
    </row>
    <row r="26" spans="2:8" x14ac:dyDescent="0.2">
      <c r="B26" s="715">
        <f t="shared" si="0"/>
        <v>23</v>
      </c>
      <c r="C26" s="722">
        <f ca="1">SUMIF(TK!$C$2:$AF$2,TGsh!$C$2,TK!C26:AA26)</f>
        <v>0</v>
      </c>
      <c r="D26" s="723">
        <f ca="1">SUMIF(TK!$C$2:$AF$2,TGsh!$C$2,TK!D26:AB26)</f>
        <v>0</v>
      </c>
      <c r="E26" s="724">
        <f ca="1">SUMIF(TK!$C$2:$AF$2,TGsh!$C$2,TK!E26:AC26)</f>
        <v>0</v>
      </c>
      <c r="F26" s="725">
        <f ca="1">SUMIF(TK!$C$2:$AF$2,TGsh!$C$2,TK!F26:AD26)</f>
        <v>0</v>
      </c>
      <c r="G26" s="726">
        <f ca="1">SUMIF(TK!$C$2:$AF$2,TGsh!$C$2,TK!G26:AE26)</f>
        <v>0</v>
      </c>
      <c r="H26" s="727">
        <f ca="1">SUMIF(TK!$C$2:$AF$2,TGsh!$C$2,TK!H26:AF26)</f>
        <v>0</v>
      </c>
    </row>
    <row r="27" spans="2:8" x14ac:dyDescent="0.2">
      <c r="B27" s="715">
        <f t="shared" si="0"/>
        <v>24</v>
      </c>
      <c r="C27" s="722">
        <f ca="1">SUMIF(TK!$C$2:$AF$2,TGsh!$C$2,TK!C27:AA27)</f>
        <v>0</v>
      </c>
      <c r="D27" s="723">
        <f ca="1">SUMIF(TK!$C$2:$AF$2,TGsh!$C$2,TK!D27:AB27)</f>
        <v>0</v>
      </c>
      <c r="E27" s="724">
        <f ca="1">SUMIF(TK!$C$2:$AF$2,TGsh!$C$2,TK!E27:AC27)</f>
        <v>0</v>
      </c>
      <c r="F27" s="725">
        <f ca="1">SUMIF(TK!$C$2:$AF$2,TGsh!$C$2,TK!F27:AD27)</f>
        <v>0</v>
      </c>
      <c r="G27" s="726">
        <f ca="1">SUMIF(TK!$C$2:$AF$2,TGsh!$C$2,TK!G27:AE27)</f>
        <v>0</v>
      </c>
      <c r="H27" s="727">
        <f ca="1">SUMIF(TK!$C$2:$AF$2,TGsh!$C$2,TK!H27:AF27)</f>
        <v>0</v>
      </c>
    </row>
    <row r="28" spans="2:8" x14ac:dyDescent="0.2">
      <c r="B28" s="715">
        <f t="shared" si="0"/>
        <v>25</v>
      </c>
      <c r="C28" s="722">
        <f ca="1">SUMIF(TK!$C$2:$AF$2,TGsh!$C$2,TK!C28:AA28)</f>
        <v>0</v>
      </c>
      <c r="D28" s="723">
        <f ca="1">SUMIF(TK!$C$2:$AF$2,TGsh!$C$2,TK!D28:AB28)</f>
        <v>0</v>
      </c>
      <c r="E28" s="724">
        <f ca="1">SUMIF(TK!$C$2:$AF$2,TGsh!$C$2,TK!E28:AC28)</f>
        <v>0</v>
      </c>
      <c r="F28" s="725">
        <f ca="1">SUMIF(TK!$C$2:$AF$2,TGsh!$C$2,TK!F28:AD28)</f>
        <v>0</v>
      </c>
      <c r="G28" s="726">
        <f ca="1">SUMIF(TK!$C$2:$AF$2,TGsh!$C$2,TK!G28:AE28)</f>
        <v>0</v>
      </c>
      <c r="H28" s="727">
        <f ca="1">SUMIF(TK!$C$2:$AF$2,TGsh!$C$2,TK!H28:AF28)</f>
        <v>0</v>
      </c>
    </row>
    <row r="29" spans="2:8" x14ac:dyDescent="0.2">
      <c r="B29" s="715">
        <f t="shared" si="0"/>
        <v>26</v>
      </c>
      <c r="C29" s="722">
        <f ca="1">SUMIF(TK!$C$2:$AF$2,TGsh!$C$2,TK!C29:AA29)</f>
        <v>0</v>
      </c>
      <c r="D29" s="723">
        <f ca="1">SUMIF(TK!$C$2:$AF$2,TGsh!$C$2,TK!D29:AB29)</f>
        <v>0</v>
      </c>
      <c r="E29" s="724">
        <f ca="1">SUMIF(TK!$C$2:$AF$2,TGsh!$C$2,TK!E29:AC29)</f>
        <v>0</v>
      </c>
      <c r="F29" s="725">
        <f ca="1">SUMIF(TK!$C$2:$AF$2,TGsh!$C$2,TK!F29:AD29)</f>
        <v>0</v>
      </c>
      <c r="G29" s="726">
        <f ca="1">SUMIF(TK!$C$2:$AF$2,TGsh!$C$2,TK!G29:AE29)</f>
        <v>0</v>
      </c>
      <c r="H29" s="727">
        <f ca="1">SUMIF(TK!$C$2:$AF$2,TGsh!$C$2,TK!H29:AF29)</f>
        <v>0</v>
      </c>
    </row>
    <row r="30" spans="2:8" x14ac:dyDescent="0.2">
      <c r="B30" s="715">
        <f t="shared" si="0"/>
        <v>27</v>
      </c>
      <c r="C30" s="722">
        <f ca="1">SUMIF(TK!$C$2:$AF$2,TGsh!$C$2,TK!C30:AA30)</f>
        <v>0</v>
      </c>
      <c r="D30" s="723">
        <f ca="1">SUMIF(TK!$C$2:$AF$2,TGsh!$C$2,TK!D30:AB30)</f>
        <v>0</v>
      </c>
      <c r="E30" s="724">
        <f ca="1">SUMIF(TK!$C$2:$AF$2,TGsh!$C$2,TK!E30:AC30)</f>
        <v>0</v>
      </c>
      <c r="F30" s="725">
        <f ca="1">SUMIF(TK!$C$2:$AF$2,TGsh!$C$2,TK!F30:AD30)</f>
        <v>0</v>
      </c>
      <c r="G30" s="726">
        <f ca="1">SUMIF(TK!$C$2:$AF$2,TGsh!$C$2,TK!G30:AE30)</f>
        <v>0</v>
      </c>
      <c r="H30" s="727">
        <f ca="1">SUMIF(TK!$C$2:$AF$2,TGsh!$C$2,TK!H30:AF30)</f>
        <v>0</v>
      </c>
    </row>
    <row r="31" spans="2:8" x14ac:dyDescent="0.2">
      <c r="B31" s="715">
        <f t="shared" si="0"/>
        <v>28</v>
      </c>
      <c r="C31" s="722">
        <f ca="1">SUMIF(TK!$C$2:$AF$2,TGsh!$C$2,TK!C31:AA31)</f>
        <v>0</v>
      </c>
      <c r="D31" s="723">
        <f ca="1">SUMIF(TK!$C$2:$AF$2,TGsh!$C$2,TK!D31:AB31)</f>
        <v>0</v>
      </c>
      <c r="E31" s="724">
        <f ca="1">SUMIF(TK!$C$2:$AF$2,TGsh!$C$2,TK!E31:AC31)</f>
        <v>0</v>
      </c>
      <c r="F31" s="725">
        <f ca="1">SUMIF(TK!$C$2:$AF$2,TGsh!$C$2,TK!F31:AD31)</f>
        <v>0</v>
      </c>
      <c r="G31" s="726">
        <f ca="1">SUMIF(TK!$C$2:$AF$2,TGsh!$C$2,TK!G31:AE31)</f>
        <v>0</v>
      </c>
      <c r="H31" s="728">
        <f ca="1">SUMIF(TK!$C$2:$AF$2,TGsh!$C$2,TK!H31:AF31)</f>
        <v>0</v>
      </c>
    </row>
    <row r="32" spans="2:8" x14ac:dyDescent="0.2">
      <c r="B32" s="715">
        <f t="shared" si="0"/>
        <v>29</v>
      </c>
      <c r="C32" s="722">
        <f ca="1">SUMIF(TK!$C$2:$AF$2,TGsh!$C$2,TK!C32:AA32)</f>
        <v>0</v>
      </c>
      <c r="D32" s="723">
        <f ca="1">SUMIF(TK!$C$2:$AF$2,TGsh!$C$2,TK!D32:AB32)</f>
        <v>0</v>
      </c>
      <c r="E32" s="724">
        <f ca="1">SUMIF(TK!$C$2:$AF$2,TGsh!$C$2,TK!E32:AC32)</f>
        <v>0</v>
      </c>
      <c r="F32" s="725">
        <f ca="1">SUMIF(TK!$C$2:$AF$2,TGsh!$C$2,TK!F32:AD32)</f>
        <v>0</v>
      </c>
      <c r="G32" s="726">
        <f ca="1">SUMIF(TK!$C$2:$AF$2,TGsh!$C$2,TK!G32:AE32)</f>
        <v>0</v>
      </c>
      <c r="H32" s="727">
        <f ca="1">SUMIF(TK!$C$2:$AF$2,TGsh!$C$2,TK!H32:AF32)</f>
        <v>0</v>
      </c>
    </row>
    <row r="33" spans="2:8" x14ac:dyDescent="0.2">
      <c r="B33" s="715">
        <f t="shared" si="0"/>
        <v>30</v>
      </c>
      <c r="C33" s="722">
        <f ca="1">SUMIF(TK!$C$2:$AF$2,TGsh!$C$2,TK!C33:AA33)</f>
        <v>0</v>
      </c>
      <c r="D33" s="723">
        <f ca="1">SUMIF(TK!$C$2:$AF$2,TGsh!$C$2,TK!D33:AB33)</f>
        <v>0</v>
      </c>
      <c r="E33" s="724">
        <f ca="1">SUMIF(TK!$C$2:$AF$2,TGsh!$C$2,TK!E33:AC33)</f>
        <v>0</v>
      </c>
      <c r="F33" s="725">
        <f ca="1">SUMIF(TK!$C$2:$AF$2,TGsh!$C$2,TK!F33:AD33)</f>
        <v>0</v>
      </c>
      <c r="G33" s="726">
        <f ca="1">SUMIF(TK!$C$2:$AF$2,TGsh!$C$2,TK!G33:AE33)</f>
        <v>0</v>
      </c>
      <c r="H33" s="727">
        <f ca="1">SUMIF(TK!$C$2:$AF$2,TGsh!$C$2,TK!H33:AF33)</f>
        <v>0</v>
      </c>
    </row>
    <row r="34" spans="2:8" x14ac:dyDescent="0.2">
      <c r="B34" s="715">
        <f t="shared" si="0"/>
        <v>31</v>
      </c>
      <c r="C34" s="722">
        <f ca="1">SUMIF(TK!$C$2:$AF$2,TGsh!$C$2,TK!C34:AA34)</f>
        <v>0</v>
      </c>
      <c r="D34" s="723">
        <f ca="1">SUMIF(TK!$C$2:$AF$2,TGsh!$C$2,TK!D34:AB34)</f>
        <v>0</v>
      </c>
      <c r="E34" s="724">
        <f ca="1">SUMIF(TK!$C$2:$AF$2,TGsh!$C$2,TK!E34:AC34)</f>
        <v>0</v>
      </c>
      <c r="F34" s="725">
        <f ca="1">SUMIF(TK!$C$2:$AF$2,TGsh!$C$2,TK!F34:AD34)</f>
        <v>0</v>
      </c>
      <c r="G34" s="726">
        <f ca="1">SUMIF(TK!$C$2:$AF$2,TGsh!$C$2,TK!G34:AE34)</f>
        <v>0</v>
      </c>
      <c r="H34" s="727">
        <f ca="1">SUMIF(TK!$C$2:$AF$2,TGsh!$C$2,TK!H34:AF34)</f>
        <v>0</v>
      </c>
    </row>
    <row r="35" spans="2:8" x14ac:dyDescent="0.2">
      <c r="B35" s="715">
        <f t="shared" si="0"/>
        <v>32</v>
      </c>
      <c r="C35" s="722">
        <f ca="1">SUMIF(TK!$C$2:$AF$2,TGsh!$C$2,TK!C35:AA35)</f>
        <v>0</v>
      </c>
      <c r="D35" s="723">
        <f ca="1">SUMIF(TK!$C$2:$AF$2,TGsh!$C$2,TK!D35:AB35)</f>
        <v>0</v>
      </c>
      <c r="E35" s="724">
        <f ca="1">SUMIF(TK!$C$2:$AF$2,TGsh!$C$2,TK!E35:AC35)</f>
        <v>0</v>
      </c>
      <c r="F35" s="725">
        <f ca="1">SUMIF(TK!$C$2:$AF$2,TGsh!$C$2,TK!F35:AD35)</f>
        <v>0</v>
      </c>
      <c r="G35" s="726">
        <f ca="1">SUMIF(TK!$C$2:$AF$2,TGsh!$C$2,TK!G35:AE35)</f>
        <v>0</v>
      </c>
      <c r="H35" s="727">
        <f ca="1">SUMIF(TK!$C$2:$AF$2,TGsh!$C$2,TK!H35:AF35)</f>
        <v>0</v>
      </c>
    </row>
    <row r="36" spans="2:8" x14ac:dyDescent="0.2">
      <c r="B36" s="715">
        <f t="shared" si="0"/>
        <v>33</v>
      </c>
      <c r="C36" s="722">
        <f ca="1">SUMIF(TK!$C$2:$AF$2,TGsh!$C$2,TK!C36:AA36)</f>
        <v>0</v>
      </c>
      <c r="D36" s="723">
        <f ca="1">SUMIF(TK!$C$2:$AF$2,TGsh!$C$2,TK!D36:AB36)</f>
        <v>0</v>
      </c>
      <c r="E36" s="724">
        <f ca="1">SUMIF(TK!$C$2:$AF$2,TGsh!$C$2,TK!E36:AC36)</f>
        <v>0</v>
      </c>
      <c r="F36" s="725">
        <f ca="1">SUMIF(TK!$C$2:$AF$2,TGsh!$C$2,TK!F36:AD36)</f>
        <v>0</v>
      </c>
      <c r="G36" s="726">
        <f ca="1">SUMIF(TK!$C$2:$AF$2,TGsh!$C$2,TK!G36:AE36)</f>
        <v>0</v>
      </c>
      <c r="H36" s="727">
        <f ca="1">SUMIF(TK!$C$2:$AF$2,TGsh!$C$2,TK!H36:AF36)</f>
        <v>0</v>
      </c>
    </row>
    <row r="37" spans="2:8" x14ac:dyDescent="0.2">
      <c r="B37" s="715">
        <f t="shared" si="0"/>
        <v>34</v>
      </c>
      <c r="C37" s="722">
        <f ca="1">SUMIF(TK!$C$2:$AF$2,TGsh!$C$2,TK!C37:AA37)</f>
        <v>0</v>
      </c>
      <c r="D37" s="723">
        <f ca="1">SUMIF(TK!$C$2:$AF$2,TGsh!$C$2,TK!D37:AB37)</f>
        <v>0</v>
      </c>
      <c r="E37" s="724">
        <f ca="1">SUMIF(TK!$C$2:$AF$2,TGsh!$C$2,TK!E37:AC37)</f>
        <v>0</v>
      </c>
      <c r="F37" s="725">
        <f ca="1">SUMIF(TK!$C$2:$AF$2,TGsh!$C$2,TK!F37:AD37)</f>
        <v>0</v>
      </c>
      <c r="G37" s="726">
        <f ca="1">SUMIF(TK!$C$2:$AF$2,TGsh!$C$2,TK!G37:AE37)</f>
        <v>0</v>
      </c>
      <c r="H37" s="727">
        <f ca="1">SUMIF(TK!$C$2:$AF$2,TGsh!$C$2,TK!H37:AF37)</f>
        <v>0</v>
      </c>
    </row>
    <row r="38" spans="2:8" x14ac:dyDescent="0.2">
      <c r="B38" s="715">
        <f t="shared" si="0"/>
        <v>35</v>
      </c>
      <c r="C38" s="722">
        <f ca="1">SUMIF(TK!$C$2:$AF$2,TGsh!$C$2,TK!C38:AA38)</f>
        <v>0</v>
      </c>
      <c r="D38" s="723">
        <f ca="1">SUMIF(TK!$C$2:$AF$2,TGsh!$C$2,TK!D38:AB38)</f>
        <v>0</v>
      </c>
      <c r="E38" s="724">
        <f ca="1">SUMIF(TK!$C$2:$AF$2,TGsh!$C$2,TK!E38:AC38)</f>
        <v>0</v>
      </c>
      <c r="F38" s="725">
        <f ca="1">SUMIF(TK!$C$2:$AF$2,TGsh!$C$2,TK!F38:AD38)</f>
        <v>0</v>
      </c>
      <c r="G38" s="726">
        <f ca="1">SUMIF(TK!$C$2:$AF$2,TGsh!$C$2,TK!G38:AE38)</f>
        <v>0</v>
      </c>
      <c r="H38" s="728">
        <f ca="1">SUMIF(TK!$C$2:$AF$2,TGsh!$C$2,TK!H38:AF38)</f>
        <v>0</v>
      </c>
    </row>
    <row r="39" spans="2:8" x14ac:dyDescent="0.2">
      <c r="B39" s="715">
        <f t="shared" si="0"/>
        <v>36</v>
      </c>
      <c r="C39" s="722">
        <f ca="1">SUMIF(TK!$C$2:$AF$2,TGsh!$C$2,TK!C39:AA39)</f>
        <v>0</v>
      </c>
      <c r="D39" s="723">
        <f ca="1">SUMIF(TK!$C$2:$AF$2,TGsh!$C$2,TK!D39:AB39)</f>
        <v>0</v>
      </c>
      <c r="E39" s="724">
        <f ca="1">SUMIF(TK!$C$2:$AF$2,TGsh!$C$2,TK!E39:AC39)</f>
        <v>0</v>
      </c>
      <c r="F39" s="725">
        <f ca="1">SUMIF(TK!$C$2:$AF$2,TGsh!$C$2,TK!F39:AD39)</f>
        <v>0</v>
      </c>
      <c r="G39" s="726">
        <f ca="1">SUMIF(TK!$C$2:$AF$2,TGsh!$C$2,TK!G39:AE39)</f>
        <v>0</v>
      </c>
      <c r="H39" s="727">
        <f ca="1">SUMIF(TK!$C$2:$AF$2,TGsh!$C$2,TK!H39:AF39)</f>
        <v>0</v>
      </c>
    </row>
    <row r="40" spans="2:8" x14ac:dyDescent="0.2">
      <c r="B40" s="715">
        <f t="shared" si="0"/>
        <v>37</v>
      </c>
      <c r="C40" s="722">
        <f ca="1">SUMIF(TK!$C$2:$AF$2,TGsh!$C$2,TK!C40:AA40)</f>
        <v>0</v>
      </c>
      <c r="D40" s="723">
        <f ca="1">SUMIF(TK!$C$2:$AF$2,TGsh!$C$2,TK!D40:AB40)</f>
        <v>0</v>
      </c>
      <c r="E40" s="724">
        <f ca="1">SUMIF(TK!$C$2:$AF$2,TGsh!$C$2,TK!E40:AC40)</f>
        <v>0</v>
      </c>
      <c r="F40" s="725">
        <f ca="1">SUMIF(TK!$C$2:$AF$2,TGsh!$C$2,TK!F40:AD40)</f>
        <v>0</v>
      </c>
      <c r="G40" s="726">
        <f ca="1">SUMIF(TK!$C$2:$AF$2,TGsh!$C$2,TK!G40:AE40)</f>
        <v>0</v>
      </c>
      <c r="H40" s="727">
        <f ca="1">SUMIF(TK!$C$2:$AF$2,TGsh!$C$2,TK!H40:AF40)</f>
        <v>0</v>
      </c>
    </row>
    <row r="41" spans="2:8" x14ac:dyDescent="0.2">
      <c r="B41" s="715">
        <f t="shared" si="0"/>
        <v>38</v>
      </c>
      <c r="C41" s="722">
        <f ca="1">SUMIF(TK!$C$2:$AF$2,TGsh!$C$2,TK!C41:AA41)</f>
        <v>0</v>
      </c>
      <c r="D41" s="723">
        <f ca="1">SUMIF(TK!$C$2:$AF$2,TGsh!$C$2,TK!D41:AB41)</f>
        <v>0</v>
      </c>
      <c r="E41" s="724">
        <f ca="1">SUMIF(TK!$C$2:$AF$2,TGsh!$C$2,TK!E41:AC41)</f>
        <v>0</v>
      </c>
      <c r="F41" s="725">
        <f ca="1">SUMIF(TK!$C$2:$AF$2,TGsh!$C$2,TK!F41:AD41)</f>
        <v>0</v>
      </c>
      <c r="G41" s="726">
        <f ca="1">SUMIF(TK!$C$2:$AF$2,TGsh!$C$2,TK!G41:AE41)</f>
        <v>0</v>
      </c>
      <c r="H41" s="727">
        <f ca="1">SUMIF(TK!$C$2:$AF$2,TGsh!$C$2,TK!H41:AF41)</f>
        <v>0</v>
      </c>
    </row>
    <row r="42" spans="2:8" x14ac:dyDescent="0.2">
      <c r="B42" s="715">
        <f t="shared" si="0"/>
        <v>39</v>
      </c>
      <c r="C42" s="722">
        <f ca="1">SUMIF(TK!$C$2:$AF$2,TGsh!$C$2,TK!C42:AA42)</f>
        <v>0</v>
      </c>
      <c r="D42" s="723">
        <f ca="1">SUMIF(TK!$C$2:$AF$2,TGsh!$C$2,TK!D42:AB42)</f>
        <v>0</v>
      </c>
      <c r="E42" s="724">
        <f ca="1">SUMIF(TK!$C$2:$AF$2,TGsh!$C$2,TK!E42:AC42)</f>
        <v>0</v>
      </c>
      <c r="F42" s="725">
        <f ca="1">SUMIF(TK!$C$2:$AF$2,TGsh!$C$2,TK!F42:AD42)</f>
        <v>0</v>
      </c>
      <c r="G42" s="726">
        <f ca="1">SUMIF(TK!$C$2:$AF$2,TGsh!$C$2,TK!G42:AE42)</f>
        <v>0</v>
      </c>
      <c r="H42" s="727">
        <f ca="1">SUMIF(TK!$C$2:$AF$2,TGsh!$C$2,TK!H42:AF42)</f>
        <v>0</v>
      </c>
    </row>
    <row r="43" spans="2:8" x14ac:dyDescent="0.2">
      <c r="B43" s="715">
        <f t="shared" si="0"/>
        <v>40</v>
      </c>
      <c r="C43" s="722">
        <f ca="1">SUMIF(TK!$C$2:$AF$2,TGsh!$C$2,TK!C43:AA43)</f>
        <v>0</v>
      </c>
      <c r="D43" s="723">
        <f ca="1">SUMIF(TK!$C$2:$AF$2,TGsh!$C$2,TK!D43:AB43)</f>
        <v>0</v>
      </c>
      <c r="E43" s="724">
        <f ca="1">SUMIF(TK!$C$2:$AF$2,TGsh!$C$2,TK!E43:AC43)</f>
        <v>0</v>
      </c>
      <c r="F43" s="725">
        <f ca="1">SUMIF(TK!$C$2:$AF$2,TGsh!$C$2,TK!F43:AD43)</f>
        <v>0</v>
      </c>
      <c r="G43" s="726">
        <f ca="1">SUMIF(TK!$C$2:$AF$2,TGsh!$C$2,TK!G43:AE43)</f>
        <v>0</v>
      </c>
      <c r="H43" s="727">
        <f ca="1">SUMIF(TK!$C$2:$AF$2,TGsh!$C$2,TK!H43:AF43)</f>
        <v>0</v>
      </c>
    </row>
    <row r="44" spans="2:8" x14ac:dyDescent="0.2">
      <c r="B44" s="715">
        <f t="shared" si="0"/>
        <v>41</v>
      </c>
      <c r="C44" s="722">
        <f ca="1">SUMIF(TK!$C$2:$AF$2,TGsh!$C$2,TK!C44:AA44)</f>
        <v>0</v>
      </c>
      <c r="D44" s="723">
        <f ca="1">SUMIF(TK!$C$2:$AF$2,TGsh!$C$2,TK!D44:AB44)</f>
        <v>0</v>
      </c>
      <c r="E44" s="724">
        <f ca="1">SUMIF(TK!$C$2:$AF$2,TGsh!$C$2,TK!E44:AC44)</f>
        <v>0</v>
      </c>
      <c r="F44" s="725">
        <f ca="1">SUMIF(TK!$C$2:$AF$2,TGsh!$C$2,TK!F44:AD44)</f>
        <v>0</v>
      </c>
      <c r="G44" s="726">
        <f ca="1">SUMIF(TK!$C$2:$AF$2,TGsh!$C$2,TK!G44:AE44)</f>
        <v>0</v>
      </c>
      <c r="H44" s="727">
        <f ca="1">SUMIF(TK!$C$2:$AF$2,TGsh!$C$2,TK!H44:AF44)</f>
        <v>0</v>
      </c>
    </row>
    <row r="45" spans="2:8" x14ac:dyDescent="0.2">
      <c r="B45" s="715">
        <f t="shared" si="0"/>
        <v>42</v>
      </c>
      <c r="C45" s="722">
        <f ca="1">SUMIF(TK!$C$2:$AF$2,TGsh!$C$2,TK!C45:AA45)</f>
        <v>0</v>
      </c>
      <c r="D45" s="723">
        <f ca="1">SUMIF(TK!$C$2:$AF$2,TGsh!$C$2,TK!D45:AB45)</f>
        <v>0</v>
      </c>
      <c r="E45" s="724">
        <f ca="1">SUMIF(TK!$C$2:$AF$2,TGsh!$C$2,TK!E45:AC45)</f>
        <v>0</v>
      </c>
      <c r="F45" s="725">
        <f ca="1">SUMIF(TK!$C$2:$AF$2,TGsh!$C$2,TK!F45:AD45)</f>
        <v>0</v>
      </c>
      <c r="G45" s="726">
        <f ca="1">SUMIF(TK!$C$2:$AF$2,TGsh!$C$2,TK!G45:AE45)</f>
        <v>0</v>
      </c>
      <c r="H45" s="728">
        <f ca="1">SUMIF(TK!$C$2:$AF$2,TGsh!$C$2,TK!H45:AF45)</f>
        <v>0</v>
      </c>
    </row>
    <row r="46" spans="2:8" x14ac:dyDescent="0.2">
      <c r="B46" s="715">
        <f t="shared" si="0"/>
        <v>43</v>
      </c>
      <c r="C46" s="722">
        <f ca="1">SUMIF(TK!$C$2:$AF$2,TGsh!$C$2,TK!C46:AA46)</f>
        <v>0</v>
      </c>
      <c r="D46" s="723">
        <f ca="1">SUMIF(TK!$C$2:$AF$2,TGsh!$C$2,TK!D46:AB46)</f>
        <v>0</v>
      </c>
      <c r="E46" s="724">
        <f ca="1">SUMIF(TK!$C$2:$AF$2,TGsh!$C$2,TK!E46:AC46)</f>
        <v>0</v>
      </c>
      <c r="F46" s="725">
        <f ca="1">SUMIF(TK!$C$2:$AF$2,TGsh!$C$2,TK!F46:AD46)</f>
        <v>0</v>
      </c>
      <c r="G46" s="726">
        <f ca="1">SUMIF(TK!$C$2:$AF$2,TGsh!$C$2,TK!G46:AE46)</f>
        <v>0</v>
      </c>
      <c r="H46" s="727">
        <f ca="1">SUMIF(TK!$C$2:$AF$2,TGsh!$C$2,TK!H46:AF46)</f>
        <v>0</v>
      </c>
    </row>
    <row r="47" spans="2:8" x14ac:dyDescent="0.2">
      <c r="B47" s="715">
        <f t="shared" si="0"/>
        <v>44</v>
      </c>
      <c r="C47" s="722">
        <f ca="1">SUMIF(TK!$C$2:$AF$2,TGsh!$C$2,TK!C47:AA47)</f>
        <v>0</v>
      </c>
      <c r="D47" s="723">
        <f ca="1">SUMIF(TK!$C$2:$AF$2,TGsh!$C$2,TK!D47:AB47)</f>
        <v>0</v>
      </c>
      <c r="E47" s="724">
        <f ca="1">SUMIF(TK!$C$2:$AF$2,TGsh!$C$2,TK!E47:AC47)</f>
        <v>0</v>
      </c>
      <c r="F47" s="725">
        <f ca="1">SUMIF(TK!$C$2:$AF$2,TGsh!$C$2,TK!F47:AD47)</f>
        <v>0</v>
      </c>
      <c r="G47" s="726">
        <f ca="1">SUMIF(TK!$C$2:$AF$2,TGsh!$C$2,TK!G47:AE47)</f>
        <v>0</v>
      </c>
      <c r="H47" s="727">
        <f ca="1">SUMIF(TK!$C$2:$AF$2,TGsh!$C$2,TK!H47:AF47)</f>
        <v>0</v>
      </c>
    </row>
    <row r="48" spans="2:8" x14ac:dyDescent="0.2">
      <c r="B48" s="715">
        <f t="shared" si="0"/>
        <v>45</v>
      </c>
      <c r="C48" s="722">
        <f ca="1">SUMIF(TK!$C$2:$AF$2,TGsh!$C$2,TK!C48:AA48)</f>
        <v>0</v>
      </c>
      <c r="D48" s="723">
        <f ca="1">SUMIF(TK!$C$2:$AF$2,TGsh!$C$2,TK!D48:AB48)</f>
        <v>0</v>
      </c>
      <c r="E48" s="724">
        <f ca="1">SUMIF(TK!$C$2:$AF$2,TGsh!$C$2,TK!E48:AC48)</f>
        <v>0</v>
      </c>
      <c r="F48" s="725">
        <f ca="1">SUMIF(TK!$C$2:$AF$2,TGsh!$C$2,TK!F48:AD48)</f>
        <v>0</v>
      </c>
      <c r="G48" s="726">
        <f ca="1">SUMIF(TK!$C$2:$AF$2,TGsh!$C$2,TK!G48:AE48)</f>
        <v>0</v>
      </c>
      <c r="H48" s="727">
        <f ca="1">SUMIF(TK!$C$2:$AF$2,TGsh!$C$2,TK!H48:AF48)</f>
        <v>0</v>
      </c>
    </row>
    <row r="49" spans="2:8" x14ac:dyDescent="0.2">
      <c r="B49" s="715">
        <f t="shared" si="0"/>
        <v>46</v>
      </c>
      <c r="C49" s="722">
        <f ca="1">SUMIF(TK!$C$2:$AF$2,TGsh!$C$2,TK!C49:AA49)</f>
        <v>0</v>
      </c>
      <c r="D49" s="723">
        <f ca="1">SUMIF(TK!$C$2:$AF$2,TGsh!$C$2,TK!D49:AB49)</f>
        <v>0</v>
      </c>
      <c r="E49" s="724">
        <f ca="1">SUMIF(TK!$C$2:$AF$2,TGsh!$C$2,TK!E49:AC49)</f>
        <v>0</v>
      </c>
      <c r="F49" s="725">
        <f ca="1">SUMIF(TK!$C$2:$AF$2,TGsh!$C$2,TK!F49:AD49)</f>
        <v>0</v>
      </c>
      <c r="G49" s="726">
        <f ca="1">SUMIF(TK!$C$2:$AF$2,TGsh!$C$2,TK!G49:AE49)</f>
        <v>0</v>
      </c>
      <c r="H49" s="727">
        <f ca="1">SUMIF(TK!$C$2:$AF$2,TGsh!$C$2,TK!H49:AF49)</f>
        <v>0</v>
      </c>
    </row>
    <row r="50" spans="2:8" x14ac:dyDescent="0.2">
      <c r="B50" s="715">
        <f t="shared" si="0"/>
        <v>47</v>
      </c>
      <c r="C50" s="722">
        <f ca="1">SUMIF(TK!$C$2:$AF$2,TGsh!$C$2,TK!C50:AA50)</f>
        <v>0</v>
      </c>
      <c r="D50" s="723">
        <f ca="1">SUMIF(TK!$C$2:$AF$2,TGsh!$C$2,TK!D50:AB50)</f>
        <v>0</v>
      </c>
      <c r="E50" s="724">
        <f ca="1">SUMIF(TK!$C$2:$AF$2,TGsh!$C$2,TK!E50:AC50)</f>
        <v>0</v>
      </c>
      <c r="F50" s="725">
        <f ca="1">SUMIF(TK!$C$2:$AF$2,TGsh!$C$2,TK!F50:AD50)</f>
        <v>0</v>
      </c>
      <c r="G50" s="726">
        <f ca="1">SUMIF(TK!$C$2:$AF$2,TGsh!$C$2,TK!G50:AE50)</f>
        <v>0</v>
      </c>
      <c r="H50" s="727">
        <f ca="1">SUMIF(TK!$C$2:$AF$2,TGsh!$C$2,TK!H50:AF50)</f>
        <v>0</v>
      </c>
    </row>
    <row r="51" spans="2:8" x14ac:dyDescent="0.2">
      <c r="B51" s="715">
        <f t="shared" si="0"/>
        <v>48</v>
      </c>
      <c r="C51" s="722">
        <f ca="1">SUMIF(TK!$C$2:$AF$2,TGsh!$C$2,TK!C51:AA51)</f>
        <v>0</v>
      </c>
      <c r="D51" s="723">
        <f ca="1">SUMIF(TK!$C$2:$AF$2,TGsh!$C$2,TK!D51:AB51)</f>
        <v>0</v>
      </c>
      <c r="E51" s="724">
        <f ca="1">SUMIF(TK!$C$2:$AF$2,TGsh!$C$2,TK!E51:AC51)</f>
        <v>0</v>
      </c>
      <c r="F51" s="725">
        <f ca="1">SUMIF(TK!$C$2:$AF$2,TGsh!$C$2,TK!F51:AD51)</f>
        <v>0</v>
      </c>
      <c r="G51" s="726">
        <f ca="1">SUMIF(TK!$C$2:$AF$2,TGsh!$C$2,TK!G51:AE51)</f>
        <v>0</v>
      </c>
      <c r="H51" s="727">
        <f ca="1">SUMIF(TK!$C$2:$AF$2,TGsh!$C$2,TK!H51:AF51)</f>
        <v>0</v>
      </c>
    </row>
    <row r="52" spans="2:8" x14ac:dyDescent="0.2">
      <c r="B52" s="715">
        <f t="shared" si="0"/>
        <v>49</v>
      </c>
      <c r="C52" s="722">
        <f ca="1">SUMIF(TK!$C$2:$AF$2,TGsh!$C$2,TK!C52:AA52)</f>
        <v>0</v>
      </c>
      <c r="D52" s="723">
        <f ca="1">SUMIF(TK!$C$2:$AF$2,TGsh!$C$2,TK!D52:AB52)</f>
        <v>0</v>
      </c>
      <c r="E52" s="724">
        <f ca="1">SUMIF(TK!$C$2:$AF$2,TGsh!$C$2,TK!E52:AC52)</f>
        <v>0</v>
      </c>
      <c r="F52" s="725">
        <f ca="1">SUMIF(TK!$C$2:$AF$2,TGsh!$C$2,TK!F52:AD52)</f>
        <v>0</v>
      </c>
      <c r="G52" s="726">
        <f ca="1">SUMIF(TK!$C$2:$AF$2,TGsh!$C$2,TK!G52:AE52)</f>
        <v>0</v>
      </c>
      <c r="H52" s="728">
        <f ca="1">SUMIF(TK!$C$2:$AF$2,TGsh!$C$2,TK!H52:AF52)</f>
        <v>0</v>
      </c>
    </row>
    <row r="53" spans="2:8" x14ac:dyDescent="0.2">
      <c r="B53" s="715">
        <f t="shared" si="0"/>
        <v>50</v>
      </c>
      <c r="C53" s="722">
        <f ca="1">SUMIF(TK!$C$2:$AF$2,TGsh!$C$2,TK!C53:AA53)</f>
        <v>0</v>
      </c>
      <c r="D53" s="723">
        <f ca="1">SUMIF(TK!$C$2:$AF$2,TGsh!$C$2,TK!D53:AB53)</f>
        <v>0</v>
      </c>
      <c r="E53" s="724">
        <f ca="1">SUMIF(TK!$C$2:$AF$2,TGsh!$C$2,TK!E53:AC53)</f>
        <v>0</v>
      </c>
      <c r="F53" s="725">
        <f ca="1">SUMIF(TK!$C$2:$AF$2,TGsh!$C$2,TK!F53:AD53)</f>
        <v>0</v>
      </c>
      <c r="G53" s="726">
        <f ca="1">SUMIF(TK!$C$2:$AF$2,TGsh!$C$2,TK!G53:AE53)</f>
        <v>0</v>
      </c>
      <c r="H53" s="727">
        <f ca="1">SUMIF(TK!$C$2:$AF$2,TGsh!$C$2,TK!H53:AF53)</f>
        <v>0</v>
      </c>
    </row>
    <row r="54" spans="2:8" x14ac:dyDescent="0.2">
      <c r="B54" s="715">
        <f t="shared" si="0"/>
        <v>51</v>
      </c>
      <c r="C54" s="722">
        <f ca="1">SUMIF(TK!$C$2:$AF$2,TGsh!$C$2,TK!C54:AA54)</f>
        <v>0</v>
      </c>
      <c r="D54" s="723">
        <f ca="1">SUMIF(TK!$C$2:$AF$2,TGsh!$C$2,TK!D54:AB54)</f>
        <v>0</v>
      </c>
      <c r="E54" s="724">
        <f ca="1">SUMIF(TK!$C$2:$AF$2,TGsh!$C$2,TK!E54:AC54)</f>
        <v>0</v>
      </c>
      <c r="F54" s="725">
        <f ca="1">SUMIF(TK!$C$2:$AF$2,TGsh!$C$2,TK!F54:AD54)</f>
        <v>0</v>
      </c>
      <c r="G54" s="726">
        <f ca="1">SUMIF(TK!$C$2:$AF$2,TGsh!$C$2,TK!G54:AE54)</f>
        <v>0</v>
      </c>
      <c r="H54" s="727">
        <f ca="1">SUMIF(TK!$C$2:$AF$2,TGsh!$C$2,TK!H54:AF54)</f>
        <v>0</v>
      </c>
    </row>
    <row r="55" spans="2:8" x14ac:dyDescent="0.2">
      <c r="B55" s="715">
        <f t="shared" si="0"/>
        <v>52</v>
      </c>
      <c r="C55" s="722">
        <f ca="1">SUMIF(TK!$C$2:$AF$2,TGsh!$C$2,TK!C55:AA55)</f>
        <v>0</v>
      </c>
      <c r="D55" s="723">
        <f ca="1">SUMIF(TK!$C$2:$AF$2,TGsh!$C$2,TK!D55:AB55)</f>
        <v>0</v>
      </c>
      <c r="E55" s="724">
        <f ca="1">SUMIF(TK!$C$2:$AF$2,TGsh!$C$2,TK!E55:AC55)</f>
        <v>0</v>
      </c>
      <c r="F55" s="725">
        <f ca="1">SUMIF(TK!$C$2:$AF$2,TGsh!$C$2,TK!F55:AD55)</f>
        <v>0</v>
      </c>
      <c r="G55" s="726">
        <f ca="1">SUMIF(TK!$C$2:$AF$2,TGsh!$C$2,TK!G55:AE55)</f>
        <v>0</v>
      </c>
      <c r="H55" s="727">
        <f ca="1">SUMIF(TK!$C$2:$AF$2,TGsh!$C$2,TK!H55:AF55)</f>
        <v>0</v>
      </c>
    </row>
    <row r="56" spans="2:8" x14ac:dyDescent="0.2">
      <c r="B56" s="715">
        <f t="shared" si="0"/>
        <v>53</v>
      </c>
      <c r="C56" s="722">
        <f ca="1">SUMIF(TK!$C$2:$AF$2,TGsh!$C$2,TK!C56:AA56)</f>
        <v>0</v>
      </c>
      <c r="D56" s="723">
        <f ca="1">SUMIF(TK!$C$2:$AF$2,TGsh!$C$2,TK!D56:AB56)</f>
        <v>0</v>
      </c>
      <c r="E56" s="724">
        <f ca="1">SUMIF(TK!$C$2:$AF$2,TGsh!$C$2,TK!E56:AC56)</f>
        <v>0</v>
      </c>
      <c r="F56" s="725">
        <f ca="1">SUMIF(TK!$C$2:$AF$2,TGsh!$C$2,TK!F56:AD56)</f>
        <v>0</v>
      </c>
      <c r="G56" s="726">
        <f ca="1">SUMIF(TK!$C$2:$AF$2,TGsh!$C$2,TK!G56:AE56)</f>
        <v>0</v>
      </c>
      <c r="H56" s="727">
        <f ca="1">SUMIF(TK!$C$2:$AF$2,TGsh!$C$2,TK!H56:AF56)</f>
        <v>0</v>
      </c>
    </row>
    <row r="57" spans="2:8" x14ac:dyDescent="0.2">
      <c r="B57" s="715">
        <f t="shared" si="0"/>
        <v>54</v>
      </c>
      <c r="C57" s="722">
        <f ca="1">SUMIF(TK!$C$2:$AF$2,TGsh!$C$2,TK!C57:AA57)</f>
        <v>0</v>
      </c>
      <c r="D57" s="723">
        <f ca="1">SUMIF(TK!$C$2:$AF$2,TGsh!$C$2,TK!D57:AB57)</f>
        <v>0</v>
      </c>
      <c r="E57" s="724">
        <f ca="1">SUMIF(TK!$C$2:$AF$2,TGsh!$C$2,TK!E57:AC57)</f>
        <v>0</v>
      </c>
      <c r="F57" s="725">
        <f ca="1">SUMIF(TK!$C$2:$AF$2,TGsh!$C$2,TK!F57:AD57)</f>
        <v>0</v>
      </c>
      <c r="G57" s="726">
        <f ca="1">SUMIF(TK!$C$2:$AF$2,TGsh!$C$2,TK!G57:AE57)</f>
        <v>0</v>
      </c>
      <c r="H57" s="727">
        <f ca="1">SUMIF(TK!$C$2:$AF$2,TGsh!$C$2,TK!H57:AF57)</f>
        <v>0</v>
      </c>
    </row>
    <row r="58" spans="2:8" x14ac:dyDescent="0.2">
      <c r="B58" s="715">
        <f t="shared" si="0"/>
        <v>55</v>
      </c>
      <c r="C58" s="722">
        <f ca="1">SUMIF(TK!$C$2:$AF$2,TGsh!$C$2,TK!C58:AA58)</f>
        <v>0</v>
      </c>
      <c r="D58" s="723">
        <f ca="1">SUMIF(TK!$C$2:$AF$2,TGsh!$C$2,TK!D58:AB58)</f>
        <v>0</v>
      </c>
      <c r="E58" s="724">
        <f ca="1">SUMIF(TK!$C$2:$AF$2,TGsh!$C$2,TK!E58:AC58)</f>
        <v>0</v>
      </c>
      <c r="F58" s="725">
        <f ca="1">SUMIF(TK!$C$2:$AF$2,TGsh!$C$2,TK!F58:AD58)</f>
        <v>0</v>
      </c>
      <c r="G58" s="726">
        <f ca="1">SUMIF(TK!$C$2:$AF$2,TGsh!$C$2,TK!G58:AE58)</f>
        <v>0</v>
      </c>
      <c r="H58" s="727">
        <f ca="1">SUMIF(TK!$C$2:$AF$2,TGsh!$C$2,TK!H58:AF58)</f>
        <v>0</v>
      </c>
    </row>
    <row r="59" spans="2:8" ht="13.5" thickBot="1" x14ac:dyDescent="0.25">
      <c r="B59" s="715">
        <f t="shared" si="0"/>
        <v>56</v>
      </c>
      <c r="C59" s="729">
        <f ca="1">SUMIF(TK!$C$2:$AF$2,TGsh!$C$2,TK!C59:AA59)</f>
        <v>0</v>
      </c>
      <c r="D59" s="730">
        <f ca="1">SUMIF(TK!$C$2:$AF$2,TGsh!$C$2,TK!D59:AB59)</f>
        <v>0</v>
      </c>
      <c r="E59" s="731">
        <f ca="1">SUMIF(TK!$C$2:$AF$2,TGsh!$C$2,TK!E59:AC59)</f>
        <v>0</v>
      </c>
      <c r="F59" s="732">
        <f ca="1">SUMIF(TK!$C$2:$AF$2,TGsh!$C$2,TK!F59:AD59)</f>
        <v>0</v>
      </c>
      <c r="G59" s="733">
        <f ca="1">SUMIF(TK!$C$2:$AF$2,TGsh!$C$2,TK!G59:AE59)</f>
        <v>0</v>
      </c>
      <c r="H59" s="734">
        <f ca="1">SUMIF(TK!$C$2:$AF$2,TGsh!$C$2,TK!H59:AF59)</f>
        <v>0</v>
      </c>
    </row>
    <row r="60" spans="2:8" x14ac:dyDescent="0.2">
      <c r="G60" s="735"/>
      <c r="H60" s="735"/>
    </row>
    <row r="61" spans="2:8" x14ac:dyDescent="0.2">
      <c r="C61" s="706" t="s">
        <v>49</v>
      </c>
      <c r="D61" s="706" t="s">
        <v>49</v>
      </c>
      <c r="E61" s="706" t="s">
        <v>49</v>
      </c>
      <c r="F61" s="706" t="s">
        <v>49</v>
      </c>
      <c r="G61" s="706" t="s">
        <v>49</v>
      </c>
      <c r="H61" s="706" t="s">
        <v>49</v>
      </c>
    </row>
  </sheetData>
  <sheetProtection algorithmName="SHA-512" hashValue="lr00Is7LZHVQ890G7AxPOwDpTUudI3xInkcIOz5yqUaCmlQ4avRO/btXgli5pZN5sW/fCUmp5a6NazV9d7TtYw==" saltValue="2qP8snK9CVZdK0n9mIM0qw==" spinCount="100000" sheet="1" objects="1" scenarios="1"/>
  <mergeCells count="1">
    <mergeCell ref="C2:H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BO114"/>
  <sheetViews>
    <sheetView showGridLines="0" showRowColHeaders="0" showZeros="0" tabSelected="1" zoomScaleNormal="100" zoomScalePageLayoutView="140" workbookViewId="0">
      <pane xSplit="3" ySplit="5" topLeftCell="D6" activePane="bottomRight" state="frozen"/>
      <selection activeCell="AD5" sqref="AD5"/>
      <selection pane="topRight" activeCell="AD5" sqref="AD5"/>
      <selection pane="bottomLeft" activeCell="AD5" sqref="AD5"/>
      <selection pane="bottomRight" activeCell="Q2" sqref="Q2:R2"/>
    </sheetView>
  </sheetViews>
  <sheetFormatPr baseColWidth="10" defaultColWidth="11" defaultRowHeight="15" x14ac:dyDescent="0.2"/>
  <cols>
    <col min="1" max="1" width="7" style="504" customWidth="1"/>
    <col min="2" max="2" width="15" style="504" customWidth="1"/>
    <col min="3" max="3" width="8" style="504" customWidth="1"/>
    <col min="4" max="4" width="9.6640625" style="504" customWidth="1"/>
    <col min="5" max="5" width="8.33203125" style="504" customWidth="1"/>
    <col min="6" max="6" width="9.83203125" style="504" customWidth="1"/>
    <col min="7" max="7" width="10.83203125" style="504" customWidth="1"/>
    <col min="8" max="8" width="12" style="504" customWidth="1"/>
    <col min="9" max="9" width="10.83203125" style="504" customWidth="1"/>
    <col min="10" max="10" width="11.1640625" style="504" bestFit="1" customWidth="1"/>
    <col min="11" max="11" width="18.33203125" style="504" bestFit="1" customWidth="1"/>
    <col min="12" max="12" width="7.33203125" style="504" customWidth="1"/>
    <col min="13" max="13" width="8.83203125" style="504" bestFit="1" customWidth="1"/>
    <col min="14" max="14" width="9" style="504" bestFit="1" customWidth="1"/>
    <col min="15" max="15" width="10.33203125" style="504" customWidth="1"/>
    <col min="16" max="16" width="11" style="504" customWidth="1"/>
    <col min="17" max="17" width="10.1640625" style="504" customWidth="1"/>
    <col min="18" max="18" width="11.33203125" style="504" customWidth="1"/>
    <col min="19" max="19" width="10.33203125" style="504" customWidth="1"/>
    <col min="20" max="20" width="10.83203125" style="504" customWidth="1"/>
    <col min="21" max="21" width="10.1640625" style="504" customWidth="1"/>
    <col min="22" max="22" width="9.83203125" style="504" customWidth="1"/>
    <col min="23" max="23" width="10.33203125" style="504" customWidth="1"/>
    <col min="24" max="24" width="10.83203125" style="504" customWidth="1"/>
    <col min="25" max="25" width="10.1640625" style="504" customWidth="1"/>
    <col min="26" max="26" width="10.6640625" style="504" customWidth="1"/>
    <col min="27" max="27" width="13.83203125" style="504" customWidth="1"/>
    <col min="28" max="28" width="14.6640625" style="504" customWidth="1"/>
    <col min="29" max="29" width="14.33203125" style="504" customWidth="1"/>
    <col min="30" max="31" width="11.83203125" style="504" customWidth="1"/>
    <col min="32" max="32" width="10.5" style="504" customWidth="1"/>
    <col min="33" max="33" width="11.33203125" style="504" customWidth="1"/>
    <col min="34" max="34" width="11.6640625" style="504" customWidth="1"/>
    <col min="35" max="35" width="12.1640625" style="504" customWidth="1"/>
    <col min="36" max="36" width="15.83203125" style="504" customWidth="1"/>
    <col min="37" max="37" width="11" style="504" customWidth="1"/>
    <col min="38" max="38" width="10.1640625" style="504" customWidth="1"/>
    <col min="39" max="39" width="12" style="504" customWidth="1"/>
    <col min="40" max="40" width="7.1640625" style="504" bestFit="1" customWidth="1"/>
    <col min="41" max="41" width="7.1640625" style="504" customWidth="1"/>
    <col min="42" max="42" width="14.1640625" style="504" customWidth="1"/>
    <col min="43" max="43" width="14.33203125" style="504" customWidth="1"/>
    <col min="44" max="44" width="12.83203125" style="504" customWidth="1"/>
    <col min="45" max="45" width="5.6640625" style="504" bestFit="1" customWidth="1"/>
    <col min="46" max="46" width="6.33203125" style="504" bestFit="1" customWidth="1"/>
    <col min="47" max="47" width="7.6640625" style="504" bestFit="1" customWidth="1"/>
    <col min="48" max="48" width="8.83203125" style="504" customWidth="1"/>
    <col min="49" max="49" width="9.1640625" style="504" bestFit="1" customWidth="1"/>
    <col min="50" max="50" width="12.33203125" style="504" bestFit="1" customWidth="1"/>
    <col min="51" max="52" width="7.1640625" style="504" bestFit="1" customWidth="1"/>
    <col min="53" max="58" width="11" style="504"/>
    <col min="59" max="59" width="25.33203125" style="504" bestFit="1" customWidth="1"/>
    <col min="60" max="60" width="11" style="504"/>
    <col min="61" max="61" width="24" style="504" bestFit="1" customWidth="1"/>
    <col min="62" max="16384" width="11" style="504"/>
  </cols>
  <sheetData>
    <row r="1" spans="1:67" ht="15.75" customHeight="1" x14ac:dyDescent="0.25">
      <c r="A1" s="828"/>
      <c r="B1" s="828"/>
      <c r="C1" s="828"/>
      <c r="D1" s="758" t="s">
        <v>121</v>
      </c>
      <c r="E1" s="759"/>
      <c r="F1" s="760"/>
      <c r="G1" s="760"/>
      <c r="H1" s="764"/>
      <c r="I1" s="765"/>
      <c r="J1" s="766"/>
      <c r="K1" s="832" t="s">
        <v>59</v>
      </c>
      <c r="L1" s="833"/>
      <c r="M1" s="834"/>
      <c r="N1" s="835"/>
      <c r="O1" s="787" t="s">
        <v>122</v>
      </c>
      <c r="P1" s="788"/>
      <c r="Q1" s="779"/>
      <c r="R1" s="780"/>
      <c r="S1" s="787" t="s">
        <v>13</v>
      </c>
      <c r="T1" s="788"/>
      <c r="U1" s="783"/>
      <c r="V1" s="784"/>
      <c r="W1" s="787" t="s">
        <v>166</v>
      </c>
      <c r="X1" s="788"/>
      <c r="Y1" s="794"/>
      <c r="Z1" s="795"/>
      <c r="AA1" s="789" t="s">
        <v>186</v>
      </c>
      <c r="AB1" s="790"/>
      <c r="AC1" s="503"/>
      <c r="AD1" s="791" t="s">
        <v>124</v>
      </c>
      <c r="AE1" s="792"/>
      <c r="AF1" s="793"/>
      <c r="AG1" s="775"/>
      <c r="AH1" s="775"/>
      <c r="AI1" s="776"/>
      <c r="AN1" s="505"/>
      <c r="AO1" s="505"/>
      <c r="AP1" s="505"/>
      <c r="AQ1" s="505"/>
      <c r="AR1" s="505"/>
      <c r="AS1" s="505"/>
      <c r="AT1" s="505"/>
      <c r="AU1" s="505"/>
      <c r="AV1" s="505"/>
      <c r="AW1" s="505"/>
      <c r="AX1" s="505"/>
      <c r="AY1" s="505"/>
      <c r="AZ1" s="505"/>
      <c r="BA1" s="505"/>
      <c r="BB1" s="505"/>
      <c r="BC1" s="505"/>
      <c r="BD1" s="505"/>
      <c r="BE1" s="505"/>
      <c r="BF1" s="505"/>
    </row>
    <row r="2" spans="1:67" s="507" customFormat="1" ht="15.75" customHeight="1" thickBot="1" x14ac:dyDescent="0.3">
      <c r="A2" s="828"/>
      <c r="B2" s="828"/>
      <c r="C2" s="828"/>
      <c r="D2" s="761" t="s">
        <v>57</v>
      </c>
      <c r="E2" s="762"/>
      <c r="F2" s="763"/>
      <c r="G2" s="763"/>
      <c r="H2" s="767"/>
      <c r="I2" s="768"/>
      <c r="J2" s="769"/>
      <c r="K2" s="848" t="s">
        <v>60</v>
      </c>
      <c r="L2" s="849"/>
      <c r="M2" s="836"/>
      <c r="N2" s="837"/>
      <c r="O2" s="777" t="s">
        <v>177</v>
      </c>
      <c r="P2" s="778"/>
      <c r="Q2" s="785"/>
      <c r="R2" s="786"/>
      <c r="S2" s="777" t="s">
        <v>56</v>
      </c>
      <c r="T2" s="778"/>
      <c r="U2" s="844" t="str">
        <f>IF(M3&gt;0,IF(M2=0,"MACHO",IF(M1=0,"HEMBRA","MIXTO")),"")</f>
        <v/>
      </c>
      <c r="V2" s="845"/>
      <c r="W2" s="777" t="s">
        <v>36</v>
      </c>
      <c r="X2" s="778"/>
      <c r="Y2" s="796" t="str">
        <f>IF(Y1="&gt; 1400","Frio",IF(Y1="1001 - 1400","Templado","Cálido"))</f>
        <v>Cálido</v>
      </c>
      <c r="Z2" s="797"/>
      <c r="AA2" s="852" t="s">
        <v>187</v>
      </c>
      <c r="AB2" s="853"/>
      <c r="AC2" s="506">
        <f>IF(AC1&gt;0,M3/AC1,0)</f>
        <v>0</v>
      </c>
      <c r="AD2" s="854" t="s">
        <v>125</v>
      </c>
      <c r="AE2" s="855"/>
      <c r="AF2" s="856"/>
      <c r="AG2" s="798"/>
      <c r="AH2" s="798"/>
      <c r="AI2" s="799"/>
      <c r="AN2" s="508"/>
      <c r="AO2" s="508"/>
      <c r="AP2" s="508"/>
      <c r="AQ2" s="508"/>
      <c r="AR2" s="508"/>
      <c r="AS2" s="508"/>
      <c r="AT2" s="508"/>
      <c r="AU2" s="508"/>
      <c r="AV2" s="508"/>
      <c r="AW2" s="508"/>
      <c r="AX2" s="508"/>
      <c r="AY2" s="508"/>
      <c r="AZ2" s="508"/>
      <c r="BA2" s="508"/>
      <c r="BB2" s="508"/>
      <c r="BC2" s="508"/>
      <c r="BD2" s="508"/>
      <c r="BE2" s="508"/>
      <c r="BF2" s="508"/>
    </row>
    <row r="3" spans="1:67" s="507" customFormat="1" ht="15.75" customHeight="1" thickBot="1" x14ac:dyDescent="0.3">
      <c r="A3" s="828"/>
      <c r="B3" s="828"/>
      <c r="C3" s="828"/>
      <c r="D3" s="761" t="s">
        <v>164</v>
      </c>
      <c r="E3" s="762"/>
      <c r="F3" s="763"/>
      <c r="G3" s="763"/>
      <c r="H3" s="767"/>
      <c r="I3" s="768"/>
      <c r="J3" s="769"/>
      <c r="K3" s="811" t="s">
        <v>54</v>
      </c>
      <c r="L3" s="812"/>
      <c r="M3" s="838">
        <f>SUM(M1:N2)</f>
        <v>0</v>
      </c>
      <c r="N3" s="839"/>
      <c r="O3" s="821" t="s">
        <v>51</v>
      </c>
      <c r="P3" s="822"/>
      <c r="Q3" s="822"/>
      <c r="R3" s="822"/>
      <c r="S3" s="816" t="s">
        <v>52</v>
      </c>
      <c r="T3" s="817"/>
      <c r="U3" s="817"/>
      <c r="V3" s="818"/>
      <c r="W3" s="781" t="s">
        <v>142</v>
      </c>
      <c r="X3" s="781"/>
      <c r="Y3" s="781"/>
      <c r="Z3" s="782"/>
      <c r="AA3" s="807" t="s">
        <v>123</v>
      </c>
      <c r="AB3" s="808"/>
      <c r="AC3" s="509"/>
      <c r="AD3" s="850" t="s">
        <v>126</v>
      </c>
      <c r="AE3" s="851"/>
      <c r="AF3" s="851"/>
      <c r="AG3" s="800"/>
      <c r="AH3" s="800"/>
      <c r="AI3" s="801"/>
      <c r="AN3" s="508"/>
      <c r="AO3" s="508"/>
      <c r="AP3" s="508"/>
      <c r="AQ3" s="508"/>
      <c r="AR3" s="508"/>
      <c r="AS3" s="508"/>
      <c r="AT3" s="508"/>
      <c r="AU3" s="508"/>
      <c r="AV3" s="508"/>
      <c r="AW3" s="508"/>
      <c r="AX3" s="508"/>
      <c r="AY3" s="508"/>
      <c r="AZ3" s="508"/>
      <c r="BA3" s="508"/>
      <c r="BB3" s="508"/>
      <c r="BC3" s="508"/>
      <c r="BD3" s="508"/>
      <c r="BE3" s="508"/>
      <c r="BF3" s="508"/>
      <c r="BN3" s="504"/>
      <c r="BO3" s="504"/>
    </row>
    <row r="4" spans="1:67" s="507" customFormat="1" ht="15.75" customHeight="1" thickBot="1" x14ac:dyDescent="0.3">
      <c r="A4" s="829"/>
      <c r="B4" s="829"/>
      <c r="C4" s="829"/>
      <c r="D4" s="510" t="s">
        <v>178</v>
      </c>
      <c r="E4" s="805">
        <f>Q2</f>
        <v>0</v>
      </c>
      <c r="F4" s="806"/>
      <c r="G4" s="511" t="s">
        <v>55</v>
      </c>
      <c r="H4" s="512"/>
      <c r="I4" s="513" t="s">
        <v>182</v>
      </c>
      <c r="J4" s="514">
        <v>1</v>
      </c>
      <c r="K4" s="830" t="s">
        <v>61</v>
      </c>
      <c r="L4" s="831"/>
      <c r="M4" s="846">
        <f>IF(M3&gt;0,M1/M3*100,0)</f>
        <v>0</v>
      </c>
      <c r="N4" s="847"/>
      <c r="O4" s="823" t="s">
        <v>50</v>
      </c>
      <c r="P4" s="824"/>
      <c r="Q4" s="814"/>
      <c r="R4" s="815"/>
      <c r="S4" s="809" t="str">
        <f>$O$4</f>
        <v xml:space="preserve">$ / Kilogramo: </v>
      </c>
      <c r="T4" s="810"/>
      <c r="U4" s="819"/>
      <c r="V4" s="820"/>
      <c r="W4" s="809" t="str">
        <f>$O$4</f>
        <v xml:space="preserve">$ / Kilogramo: </v>
      </c>
      <c r="X4" s="810"/>
      <c r="Y4" s="814"/>
      <c r="Z4" s="840"/>
      <c r="AA4" s="841" t="s">
        <v>53</v>
      </c>
      <c r="AB4" s="842"/>
      <c r="AC4" s="842"/>
      <c r="AD4" s="842"/>
      <c r="AE4" s="842"/>
      <c r="AF4" s="842"/>
      <c r="AG4" s="842"/>
      <c r="AH4" s="843"/>
      <c r="AI4" s="772" t="s">
        <v>58</v>
      </c>
      <c r="AJ4" s="773"/>
      <c r="AK4" s="773"/>
      <c r="AL4" s="773"/>
      <c r="AM4" s="774"/>
      <c r="AN4" s="508"/>
      <c r="AO4" s="508"/>
      <c r="AP4" s="508"/>
      <c r="AQ4" s="508"/>
      <c r="AR4" s="508"/>
      <c r="AS4" s="508"/>
      <c r="AT4" s="508"/>
      <c r="AU4" s="508"/>
      <c r="AV4" s="508"/>
      <c r="AW4" s="508"/>
      <c r="AX4" s="508"/>
      <c r="AY4" s="508"/>
      <c r="AZ4" s="508"/>
      <c r="BA4" s="508"/>
      <c r="BB4" s="508"/>
      <c r="BC4" s="508"/>
      <c r="BD4" s="508"/>
      <c r="BE4" s="508"/>
      <c r="BF4" s="508"/>
    </row>
    <row r="5" spans="1:67" ht="42" customHeight="1" thickBot="1" x14ac:dyDescent="0.25">
      <c r="A5" s="515" t="s">
        <v>49</v>
      </c>
      <c r="B5" s="516" t="s">
        <v>7</v>
      </c>
      <c r="C5" s="517" t="s">
        <v>105</v>
      </c>
      <c r="D5" s="518" t="s">
        <v>16</v>
      </c>
      <c r="E5" s="519" t="s">
        <v>17</v>
      </c>
      <c r="F5" s="520" t="s">
        <v>18</v>
      </c>
      <c r="G5" s="521" t="s">
        <v>179</v>
      </c>
      <c r="H5" s="522" t="s">
        <v>106</v>
      </c>
      <c r="I5" s="523" t="s">
        <v>181</v>
      </c>
      <c r="J5" s="524" t="s">
        <v>107</v>
      </c>
      <c r="K5" s="825" t="s">
        <v>162</v>
      </c>
      <c r="L5" s="826"/>
      <c r="M5" s="826"/>
      <c r="N5" s="827"/>
      <c r="O5" s="525" t="s">
        <v>168</v>
      </c>
      <c r="P5" s="526" t="s">
        <v>152</v>
      </c>
      <c r="Q5" s="527" t="s">
        <v>169</v>
      </c>
      <c r="R5" s="528" t="s">
        <v>170</v>
      </c>
      <c r="S5" s="529" t="s">
        <v>168</v>
      </c>
      <c r="T5" s="526" t="s">
        <v>175</v>
      </c>
      <c r="U5" s="527" t="s">
        <v>169</v>
      </c>
      <c r="V5" s="530" t="s">
        <v>170</v>
      </c>
      <c r="W5" s="531" t="s">
        <v>168</v>
      </c>
      <c r="X5" s="526" t="s">
        <v>175</v>
      </c>
      <c r="Y5" s="527" t="s">
        <v>169</v>
      </c>
      <c r="Z5" s="530" t="s">
        <v>170</v>
      </c>
      <c r="AA5" s="532" t="s">
        <v>171</v>
      </c>
      <c r="AB5" s="533" t="s">
        <v>172</v>
      </c>
      <c r="AC5" s="534" t="s">
        <v>174</v>
      </c>
      <c r="AD5" s="535" t="s">
        <v>176</v>
      </c>
      <c r="AE5" s="536" t="s">
        <v>183</v>
      </c>
      <c r="AF5" s="537" t="s">
        <v>173</v>
      </c>
      <c r="AG5" s="538" t="s">
        <v>0</v>
      </c>
      <c r="AH5" s="539" t="s">
        <v>22</v>
      </c>
      <c r="AI5" s="540" t="s">
        <v>38</v>
      </c>
      <c r="AJ5" s="541" t="s">
        <v>8</v>
      </c>
      <c r="AK5" s="542" t="s">
        <v>21</v>
      </c>
      <c r="AL5" s="543" t="s">
        <v>20</v>
      </c>
      <c r="AM5" s="544" t="s">
        <v>14</v>
      </c>
      <c r="AN5" s="505"/>
      <c r="AO5" s="505"/>
      <c r="AP5" s="505"/>
      <c r="AQ5" s="505"/>
      <c r="AR5" s="505"/>
      <c r="AS5" s="545" t="s">
        <v>120</v>
      </c>
      <c r="AT5" s="545" t="s">
        <v>119</v>
      </c>
      <c r="AU5" s="545" t="s">
        <v>118</v>
      </c>
      <c r="AV5" s="505"/>
      <c r="AW5" s="505"/>
      <c r="AX5" s="505"/>
      <c r="AY5" s="505"/>
      <c r="AZ5" s="505"/>
      <c r="BA5" s="505"/>
      <c r="BB5" s="505"/>
      <c r="BC5" s="505"/>
      <c r="BD5" s="505"/>
      <c r="BE5" s="505"/>
      <c r="BF5" s="505"/>
    </row>
    <row r="6" spans="1:67" ht="16.5" customHeight="1" thickBot="1" x14ac:dyDescent="0.3">
      <c r="A6" s="802" t="s">
        <v>10</v>
      </c>
      <c r="B6" s="546" t="str">
        <f>IF(Q1&gt;0,Q1,"")</f>
        <v/>
      </c>
      <c r="C6" s="547">
        <v>1</v>
      </c>
      <c r="D6" s="548"/>
      <c r="E6" s="549"/>
      <c r="F6" s="550"/>
      <c r="G6" s="548"/>
      <c r="H6" s="551">
        <f t="shared" ref="H6:H61" si="0">IF(F6&gt;0,G6/F6*1000,0)</f>
        <v>0</v>
      </c>
      <c r="I6" s="552">
        <f>IF($Q$1&gt;0,TGsh!E4*$M$4%+TGsh!F4*(1-$M$4%),0)</f>
        <v>0</v>
      </c>
      <c r="J6" s="553">
        <f>M3-SUM(D6:E6)-F6</f>
        <v>0</v>
      </c>
      <c r="K6" s="554" t="s">
        <v>163</v>
      </c>
      <c r="L6" s="555" t="s">
        <v>153</v>
      </c>
      <c r="M6" s="555" t="s">
        <v>154</v>
      </c>
      <c r="N6" s="556" t="s">
        <v>155</v>
      </c>
      <c r="O6" s="557"/>
      <c r="P6" s="557"/>
      <c r="Q6" s="557"/>
      <c r="R6" s="558">
        <f>O6-IF(P$5="Bulto X 40 K",P6,P6/40)-Q6</f>
        <v>0</v>
      </c>
      <c r="S6" s="559"/>
      <c r="T6" s="557"/>
      <c r="U6" s="560"/>
      <c r="V6" s="558">
        <f>S6-IF(T$5="Bulto X 40 K",T6,T6/40)-U6</f>
        <v>0</v>
      </c>
      <c r="W6" s="557"/>
      <c r="X6" s="561"/>
      <c r="Y6" s="561"/>
      <c r="Z6" s="558">
        <f>W6-IF(X$5="Bulto X 40 K",X6,X6/40)-Y6</f>
        <v>0</v>
      </c>
      <c r="AA6" s="562">
        <f>O6+S6+W6</f>
        <v>0</v>
      </c>
      <c r="AB6" s="563">
        <f>Q6+U6+Y6</f>
        <v>0</v>
      </c>
      <c r="AC6" s="564">
        <f>AA6-AD6-AB6</f>
        <v>0</v>
      </c>
      <c r="AD6" s="565">
        <f t="shared" ref="AD6:AD14" si="1">IF(P$5="Bulto X 40 K",P6,P6/40)+IF(T$5="Bulto X 40 K",T6,T6/40)+IF(X$5="Bulto X 40 K",X6,X6/40)</f>
        <v>0</v>
      </c>
      <c r="AE6" s="566">
        <f>AD6</f>
        <v>0</v>
      </c>
      <c r="AF6" s="567">
        <f>MROUND(AH6*SUM(D6:F6,J6)/40000,0.1)</f>
        <v>0</v>
      </c>
      <c r="AG6" s="568">
        <f t="shared" ref="AG6:AG37" si="2">IF((J6+F6)&gt;0,AD6*40000/(J6+F6),0)</f>
        <v>0</v>
      </c>
      <c r="AH6" s="569">
        <f>IF($M$3&gt;0,TGsh!C4*$M$4%+TGsh!D4*(1-$M$4%),0)</f>
        <v>0</v>
      </c>
      <c r="AI6" s="570" t="s">
        <v>45</v>
      </c>
      <c r="AJ6" s="571" t="s">
        <v>6</v>
      </c>
      <c r="AK6" s="572">
        <f>IF((J12+SUM(F6:F12))&gt;0,SUM(AD6:AD12)*40000/(J12+SUM(F6:F12)),0)</f>
        <v>0</v>
      </c>
      <c r="AL6" s="573">
        <f>SUMIF($AD6:$AD12,"&gt;0",AH6:AH12)</f>
        <v>0</v>
      </c>
      <c r="AM6" s="574" t="str">
        <f>IF(AK6&gt;0,(AK6-AL6)/AL6*100,"")</f>
        <v/>
      </c>
      <c r="AN6" s="505"/>
      <c r="AO6" s="575" t="s">
        <v>9</v>
      </c>
      <c r="AP6" s="576" t="s">
        <v>24</v>
      </c>
      <c r="AQ6" s="576" t="s">
        <v>25</v>
      </c>
      <c r="AR6" s="577" t="s">
        <v>14</v>
      </c>
      <c r="AS6" s="545">
        <f t="shared" ref="AS6:AS37" si="3">IF(($P6+$T6+$X6)&gt;0,P6/($P6+$T6+$X6),0)</f>
        <v>0</v>
      </c>
      <c r="AT6" s="545">
        <f t="shared" ref="AT6:AT37" si="4">IF(($P6+$T6+$X6)&gt;0,T6/($P6+$T6+$X6),0)</f>
        <v>0</v>
      </c>
      <c r="AU6" s="545">
        <f t="shared" ref="AU6:AU37" si="5">IF(($P6+$T6+$X6)&gt;0,X6/($P6+$T6+$X6),0)</f>
        <v>0</v>
      </c>
      <c r="AV6" s="505"/>
      <c r="AW6" s="505"/>
      <c r="AX6" s="505"/>
      <c r="AY6" s="505"/>
      <c r="AZ6" s="505"/>
      <c r="BA6" s="505"/>
      <c r="BB6" s="505"/>
      <c r="BC6" s="505"/>
      <c r="BD6" s="505"/>
      <c r="BE6" s="505"/>
      <c r="BF6" s="505"/>
      <c r="BG6" s="578" t="s">
        <v>145</v>
      </c>
    </row>
    <row r="7" spans="1:67" ht="16.5" thickBot="1" x14ac:dyDescent="0.3">
      <c r="A7" s="803"/>
      <c r="B7" s="579" t="str">
        <f t="shared" ref="B7:B26" si="6">IF(B6="","",B6+1)</f>
        <v/>
      </c>
      <c r="C7" s="580">
        <f t="shared" ref="C7:C38" si="7">C6+1</f>
        <v>2</v>
      </c>
      <c r="D7" s="581"/>
      <c r="E7" s="582"/>
      <c r="F7" s="583"/>
      <c r="G7" s="581"/>
      <c r="H7" s="584">
        <f t="shared" ref="H7:H12" si="8">IF(F7&gt;0,G7/F7*1000,0)</f>
        <v>0</v>
      </c>
      <c r="I7" s="585">
        <f>IF($Q$1&gt;0,TGsh!E5*$M$4%+TGsh!F5*(1-$M$4%),0)</f>
        <v>0</v>
      </c>
      <c r="J7" s="586">
        <f t="shared" ref="J7:J38" si="9">J6-SUM(D7:E7)-F7</f>
        <v>0</v>
      </c>
      <c r="K7" s="587" t="s">
        <v>156</v>
      </c>
      <c r="L7" s="588">
        <f>SUM(D6:D12)</f>
        <v>0</v>
      </c>
      <c r="M7" s="589">
        <f>IF(M3&gt;0,L7/M3,0)</f>
        <v>0</v>
      </c>
      <c r="N7" s="590">
        <f ca="1">SUM(TGsh!G4:G10)</f>
        <v>0</v>
      </c>
      <c r="O7" s="591"/>
      <c r="P7" s="592"/>
      <c r="Q7" s="592"/>
      <c r="R7" s="593">
        <f>R6+O7-IF(P$5="Bulto X 40 K",P7,P7/40)-Q7</f>
        <v>0</v>
      </c>
      <c r="S7" s="594"/>
      <c r="T7" s="592"/>
      <c r="U7" s="595"/>
      <c r="V7" s="593">
        <f>V6+S7-IF(T$5="Bulto X 40 K",T7,T7/40)-U7</f>
        <v>0</v>
      </c>
      <c r="W7" s="592"/>
      <c r="X7" s="596"/>
      <c r="Y7" s="596"/>
      <c r="Z7" s="593">
        <f>Z6+W7-IF(X$5="Bulto X 40 K",X7,X7/40)-Y7</f>
        <v>0</v>
      </c>
      <c r="AA7" s="597">
        <f>O7+S7+W7</f>
        <v>0</v>
      </c>
      <c r="AB7" s="598">
        <f>Q7+U7+Y7</f>
        <v>0</v>
      </c>
      <c r="AC7" s="599">
        <f t="shared" ref="AC7:AC38" si="10">AC6+AA7-AD7-AB7</f>
        <v>0</v>
      </c>
      <c r="AD7" s="600">
        <f t="shared" si="1"/>
        <v>0</v>
      </c>
      <c r="AE7" s="601">
        <f t="shared" ref="AE7:AE38" si="11">AE6+AD7</f>
        <v>0</v>
      </c>
      <c r="AF7" s="602">
        <f t="shared" ref="AF7:AF37" si="12">MROUND(AH7*SUM(D7:F7,J7)/40000,0.1)</f>
        <v>0</v>
      </c>
      <c r="AG7" s="603">
        <f t="shared" si="2"/>
        <v>0</v>
      </c>
      <c r="AH7" s="604">
        <f>IF($M$3&gt;0,TGsh!C5*$M$4%+TGsh!D5*(1-$M$4%),0)</f>
        <v>0</v>
      </c>
      <c r="AI7" s="605">
        <f>IF(SUM(AD6:AD12)&gt;0,AVERAGEIF(AD6:AD12,"&gt;0",AG6:AG12),0)</f>
        <v>0</v>
      </c>
      <c r="AJ7" s="606" t="s">
        <v>4</v>
      </c>
      <c r="AK7" s="607">
        <f>IF((J12+SUM(F$6:F12))&gt;0,SUM(AD$6:AD12)*40000/(J12+SUM(F$6:F12)),0)</f>
        <v>0</v>
      </c>
      <c r="AL7" s="608">
        <f>AL6</f>
        <v>0</v>
      </c>
      <c r="AM7" s="609" t="str">
        <f>IF(AK6&gt;0,(AK7-AL7)/AL7*100,"")</f>
        <v/>
      </c>
      <c r="AN7" s="505"/>
      <c r="AO7" s="610">
        <v>1</v>
      </c>
      <c r="AP7" s="572">
        <f>AK6</f>
        <v>0</v>
      </c>
      <c r="AQ7" s="572">
        <f t="shared" ref="AQ7:AR7" si="13">AL6</f>
        <v>0</v>
      </c>
      <c r="AR7" s="611" t="str">
        <f t="shared" si="13"/>
        <v/>
      </c>
      <c r="AS7" s="545">
        <f t="shared" si="3"/>
        <v>0</v>
      </c>
      <c r="AT7" s="545">
        <f t="shared" si="4"/>
        <v>0</v>
      </c>
      <c r="AU7" s="545">
        <f t="shared" si="5"/>
        <v>0</v>
      </c>
      <c r="AV7" s="505"/>
      <c r="AW7" s="505"/>
      <c r="AX7" s="505"/>
      <c r="AY7" s="505"/>
      <c r="AZ7" s="505"/>
      <c r="BA7" s="505"/>
      <c r="BB7" s="505"/>
      <c r="BC7" s="505"/>
      <c r="BD7" s="505"/>
      <c r="BE7" s="505"/>
      <c r="BF7" s="505"/>
      <c r="BG7" s="578" t="s">
        <v>146</v>
      </c>
    </row>
    <row r="8" spans="1:67" ht="16.5" thickBot="1" x14ac:dyDescent="0.3">
      <c r="A8" s="803"/>
      <c r="B8" s="579" t="str">
        <f t="shared" si="6"/>
        <v/>
      </c>
      <c r="C8" s="580">
        <f t="shared" si="7"/>
        <v>3</v>
      </c>
      <c r="D8" s="581"/>
      <c r="E8" s="582"/>
      <c r="F8" s="583"/>
      <c r="G8" s="581"/>
      <c r="H8" s="584">
        <f t="shared" si="8"/>
        <v>0</v>
      </c>
      <c r="I8" s="585">
        <f>IF($Q$1&gt;0,TGsh!E6*$M$4%+TGsh!F6*(1-$M$4%),0)</f>
        <v>0</v>
      </c>
      <c r="J8" s="586">
        <f t="shared" si="9"/>
        <v>0</v>
      </c>
      <c r="K8" s="612" t="s">
        <v>157</v>
      </c>
      <c r="L8" s="613">
        <f>SUM(E6:E12)</f>
        <v>0</v>
      </c>
      <c r="M8" s="614">
        <f>IF(M3&gt;0,L8/M3,0)</f>
        <v>0</v>
      </c>
      <c r="N8" s="615">
        <v>0</v>
      </c>
      <c r="O8" s="591"/>
      <c r="P8" s="592"/>
      <c r="Q8" s="592"/>
      <c r="R8" s="616">
        <f>R7+O8-IF(P$5="Bulto X 40 K",P8,P8/40)-Q8</f>
        <v>0</v>
      </c>
      <c r="S8" s="594"/>
      <c r="T8" s="592"/>
      <c r="U8" s="595"/>
      <c r="V8" s="593">
        <f>V7+S8-IF(T$5="Bulto X 40 K",T8,T8/40)-U8</f>
        <v>0</v>
      </c>
      <c r="W8" s="592"/>
      <c r="X8" s="596"/>
      <c r="Y8" s="596"/>
      <c r="Z8" s="593">
        <f>Z7+W8-IF(X$5="Bulto X 40 K",X8,X8/40)-Y8</f>
        <v>0</v>
      </c>
      <c r="AA8" s="597">
        <f>O8+S8+W8</f>
        <v>0</v>
      </c>
      <c r="AB8" s="598">
        <f>Q8+U8+Y8</f>
        <v>0</v>
      </c>
      <c r="AC8" s="599">
        <f t="shared" si="10"/>
        <v>0</v>
      </c>
      <c r="AD8" s="600">
        <f t="shared" si="1"/>
        <v>0</v>
      </c>
      <c r="AE8" s="601">
        <f t="shared" si="11"/>
        <v>0</v>
      </c>
      <c r="AF8" s="602">
        <f t="shared" si="12"/>
        <v>0</v>
      </c>
      <c r="AG8" s="603">
        <f t="shared" si="2"/>
        <v>0</v>
      </c>
      <c r="AH8" s="604">
        <f>IF($M$3&gt;0,TGsh!C6*$M$4%+TGsh!D6*(1-$M$4%),0)</f>
        <v>0</v>
      </c>
      <c r="AI8" s="617" t="s">
        <v>44</v>
      </c>
      <c r="AJ8" s="618" t="s">
        <v>1</v>
      </c>
      <c r="AK8" s="619"/>
      <c r="AL8" s="620">
        <f>IF($Q$1&gt;0,I12,0)</f>
        <v>0</v>
      </c>
      <c r="AM8" s="621" t="str">
        <f>IF(AK8&gt;0,(AK8-AL8)/AL8*100,"")</f>
        <v/>
      </c>
      <c r="AN8" s="505"/>
      <c r="AO8" s="622">
        <f>AO7+1</f>
        <v>2</v>
      </c>
      <c r="AP8" s="623">
        <f>AK13</f>
        <v>0</v>
      </c>
      <c r="AQ8" s="623">
        <f t="shared" ref="AQ8:AR8" si="14">AL13</f>
        <v>0</v>
      </c>
      <c r="AR8" s="624" t="str">
        <f t="shared" si="14"/>
        <v/>
      </c>
      <c r="AS8" s="545">
        <f t="shared" si="3"/>
        <v>0</v>
      </c>
      <c r="AT8" s="545">
        <f t="shared" si="4"/>
        <v>0</v>
      </c>
      <c r="AU8" s="545">
        <f t="shared" si="5"/>
        <v>0</v>
      </c>
      <c r="AV8" s="505"/>
      <c r="AW8" s="505"/>
      <c r="AX8" s="505"/>
      <c r="AY8" s="505"/>
      <c r="AZ8" s="505"/>
      <c r="BA8" s="505"/>
      <c r="BB8" s="505"/>
      <c r="BC8" s="505"/>
      <c r="BD8" s="505"/>
      <c r="BE8" s="505"/>
      <c r="BF8" s="505"/>
      <c r="BG8" s="578" t="s">
        <v>147</v>
      </c>
    </row>
    <row r="9" spans="1:67" ht="15.75" customHeight="1" x14ac:dyDescent="0.25">
      <c r="A9" s="803"/>
      <c r="B9" s="579" t="str">
        <f t="shared" si="6"/>
        <v/>
      </c>
      <c r="C9" s="580">
        <f t="shared" si="7"/>
        <v>4</v>
      </c>
      <c r="D9" s="581"/>
      <c r="E9" s="582"/>
      <c r="F9" s="583"/>
      <c r="G9" s="581"/>
      <c r="H9" s="584">
        <f t="shared" si="8"/>
        <v>0</v>
      </c>
      <c r="I9" s="585">
        <f>IF($Q$1&gt;0,TGsh!E7*$M$4%+TGsh!F7*(1-$M$4%),0)</f>
        <v>0</v>
      </c>
      <c r="J9" s="586">
        <f t="shared" si="9"/>
        <v>0</v>
      </c>
      <c r="K9" s="625" t="s">
        <v>158</v>
      </c>
      <c r="L9" s="626">
        <f>SUM(L7:L8)</f>
        <v>0</v>
      </c>
      <c r="M9" s="627">
        <f>IF(M3&gt;0,L9/M3,0)</f>
        <v>0</v>
      </c>
      <c r="N9" s="628">
        <f ca="1">SUM(N7:N8)</f>
        <v>0</v>
      </c>
      <c r="O9" s="591"/>
      <c r="P9" s="592"/>
      <c r="Q9" s="592"/>
      <c r="R9" s="616">
        <f>R8+O9-IF(P$5="Bulto X 40 K",P9,P9/40)-Q9</f>
        <v>0</v>
      </c>
      <c r="S9" s="594"/>
      <c r="T9" s="592"/>
      <c r="U9" s="595"/>
      <c r="V9" s="593">
        <f t="shared" ref="V9:V38" si="15">V8+S9-IF(T$5="Bulto X 40 K",T9,T9/40)-U9</f>
        <v>0</v>
      </c>
      <c r="W9" s="592"/>
      <c r="X9" s="596"/>
      <c r="Y9" s="596"/>
      <c r="Z9" s="593">
        <f>Z8+W9-IF(X$5="Bulto X 40 K",X9,X9/40)-Y9</f>
        <v>0</v>
      </c>
      <c r="AA9" s="597">
        <f t="shared" ref="AA9:AA61" si="16">O9+S9+W9</f>
        <v>0</v>
      </c>
      <c r="AB9" s="598">
        <f t="shared" ref="AB9:AB37" si="17">Q9+U9+Y9</f>
        <v>0</v>
      </c>
      <c r="AC9" s="599">
        <f t="shared" si="10"/>
        <v>0</v>
      </c>
      <c r="AD9" s="600">
        <f t="shared" si="1"/>
        <v>0</v>
      </c>
      <c r="AE9" s="601">
        <f t="shared" si="11"/>
        <v>0</v>
      </c>
      <c r="AF9" s="602">
        <f t="shared" si="12"/>
        <v>0</v>
      </c>
      <c r="AG9" s="603">
        <f t="shared" si="2"/>
        <v>0</v>
      </c>
      <c r="AH9" s="604">
        <f>IF($M$3&gt;0,TGsh!C7*$M$4%+TGsh!D7*(1-$M$4%),0)</f>
        <v>0</v>
      </c>
      <c r="AI9" s="605">
        <f>IF(SUM(AD6:AD12)&gt;0,AVERAGEIF(AD6:AD12,"&gt;0",AH6:AH12),0)</f>
        <v>0</v>
      </c>
      <c r="AJ9" s="629" t="s">
        <v>2</v>
      </c>
      <c r="AK9" s="630">
        <f>IF(AND(U1&gt;0,AK8&gt;0),(AK8-U1)/7,0)</f>
        <v>0</v>
      </c>
      <c r="AL9" s="631">
        <f>IF(AL8&gt;0,(AL8-40)/7,0)</f>
        <v>0</v>
      </c>
      <c r="AM9" s="632" t="str">
        <f>IF(AK9&gt;0,(AK9-AL9)/AL9*100,"")</f>
        <v/>
      </c>
      <c r="AN9" s="505"/>
      <c r="AO9" s="622">
        <f t="shared" ref="AO9:AO13" si="18">AO8+1</f>
        <v>3</v>
      </c>
      <c r="AP9" s="623">
        <f>AK20</f>
        <v>0</v>
      </c>
      <c r="AQ9" s="623">
        <f t="shared" ref="AQ9:AR9" si="19">AL20</f>
        <v>0</v>
      </c>
      <c r="AR9" s="624" t="str">
        <f t="shared" si="19"/>
        <v/>
      </c>
      <c r="AS9" s="545">
        <f t="shared" si="3"/>
        <v>0</v>
      </c>
      <c r="AT9" s="545">
        <f t="shared" si="4"/>
        <v>0</v>
      </c>
      <c r="AU9" s="545">
        <f t="shared" si="5"/>
        <v>0</v>
      </c>
      <c r="AV9" s="505"/>
      <c r="AW9" s="505"/>
      <c r="AX9" s="505"/>
      <c r="AY9" s="505"/>
      <c r="AZ9" s="505"/>
      <c r="BA9" s="505"/>
      <c r="BB9" s="505"/>
      <c r="BC9" s="505"/>
      <c r="BD9" s="505"/>
      <c r="BE9" s="505"/>
      <c r="BF9" s="505"/>
      <c r="BG9" s="578" t="s">
        <v>151</v>
      </c>
    </row>
    <row r="10" spans="1:67" ht="15.75" customHeight="1" x14ac:dyDescent="0.25">
      <c r="A10" s="803"/>
      <c r="B10" s="579" t="str">
        <f t="shared" si="6"/>
        <v/>
      </c>
      <c r="C10" s="580">
        <f t="shared" si="7"/>
        <v>5</v>
      </c>
      <c r="D10" s="581"/>
      <c r="E10" s="582"/>
      <c r="F10" s="583"/>
      <c r="G10" s="581"/>
      <c r="H10" s="584">
        <f t="shared" si="8"/>
        <v>0</v>
      </c>
      <c r="I10" s="585">
        <f>IF($Q$1&gt;0,TGsh!E8*$M$4%+TGsh!F8*(1-$M$4%),0)</f>
        <v>0</v>
      </c>
      <c r="J10" s="586">
        <f t="shared" si="9"/>
        <v>0</v>
      </c>
      <c r="K10" s="633" t="s">
        <v>159</v>
      </c>
      <c r="L10" s="634">
        <f>L7</f>
        <v>0</v>
      </c>
      <c r="M10" s="635">
        <f>IF(M3&gt;0,L10/M3,0)</f>
        <v>0</v>
      </c>
      <c r="N10" s="636">
        <f ca="1">TGsh!H10</f>
        <v>0</v>
      </c>
      <c r="O10" s="591"/>
      <c r="P10" s="592"/>
      <c r="Q10" s="592"/>
      <c r="R10" s="616">
        <f t="shared" ref="R10:R38" si="20">R9+O10-IF(P$5="Bulto X 40 K",P10,P10/40)-Q10</f>
        <v>0</v>
      </c>
      <c r="S10" s="594"/>
      <c r="T10" s="592"/>
      <c r="U10" s="595"/>
      <c r="V10" s="593">
        <f>V9+S10-IF(T$5="Bulto X 40 K",T10,T10/40)-U10</f>
        <v>0</v>
      </c>
      <c r="W10" s="592"/>
      <c r="X10" s="596"/>
      <c r="Y10" s="596"/>
      <c r="Z10" s="593">
        <f>Z9+W10-IF(X$5="Bulto X 40 K",X10,X10/40)-Y10</f>
        <v>0</v>
      </c>
      <c r="AA10" s="597">
        <f t="shared" si="16"/>
        <v>0</v>
      </c>
      <c r="AB10" s="598">
        <f t="shared" si="17"/>
        <v>0</v>
      </c>
      <c r="AC10" s="599">
        <f t="shared" si="10"/>
        <v>0</v>
      </c>
      <c r="AD10" s="600">
        <f t="shared" si="1"/>
        <v>0</v>
      </c>
      <c r="AE10" s="601">
        <f t="shared" si="11"/>
        <v>0</v>
      </c>
      <c r="AF10" s="602">
        <f t="shared" si="12"/>
        <v>0</v>
      </c>
      <c r="AG10" s="603">
        <f t="shared" si="2"/>
        <v>0</v>
      </c>
      <c r="AH10" s="604">
        <f>IF($M$3&gt;0,TGsh!C8*$M$4%+TGsh!D8*(1-$M$4%),0)</f>
        <v>0</v>
      </c>
      <c r="AI10" s="770" t="s">
        <v>188</v>
      </c>
      <c r="AJ10" s="637" t="s">
        <v>3</v>
      </c>
      <c r="AK10" s="638">
        <f>IF(AK8&gt;0,AK7/AK8,0)</f>
        <v>0</v>
      </c>
      <c r="AL10" s="639">
        <f>IF(AL8&gt;0,AL7/AL8,0)</f>
        <v>0</v>
      </c>
      <c r="AM10" s="640" t="str">
        <f>IF(AK8&gt;0,-(AK10-AL10)/AL10*100,"")</f>
        <v/>
      </c>
      <c r="AN10" s="505"/>
      <c r="AO10" s="622">
        <f t="shared" si="18"/>
        <v>4</v>
      </c>
      <c r="AP10" s="623">
        <f>AK27</f>
        <v>0</v>
      </c>
      <c r="AQ10" s="623">
        <f t="shared" ref="AQ10:AR10" si="21">AL27</f>
        <v>0</v>
      </c>
      <c r="AR10" s="624" t="str">
        <f t="shared" si="21"/>
        <v/>
      </c>
      <c r="AS10" s="545">
        <f t="shared" si="3"/>
        <v>0</v>
      </c>
      <c r="AT10" s="545">
        <f t="shared" si="4"/>
        <v>0</v>
      </c>
      <c r="AU10" s="545">
        <f t="shared" si="5"/>
        <v>0</v>
      </c>
      <c r="AV10" s="505"/>
      <c r="AW10" s="505"/>
      <c r="AX10" s="505"/>
      <c r="AY10" s="505"/>
      <c r="AZ10" s="505"/>
      <c r="BA10" s="505"/>
      <c r="BB10" s="505"/>
      <c r="BC10" s="505"/>
      <c r="BD10" s="505"/>
      <c r="BE10" s="505"/>
      <c r="BF10" s="505"/>
      <c r="BG10" s="578" t="s">
        <v>148</v>
      </c>
    </row>
    <row r="11" spans="1:67" ht="15.75" x14ac:dyDescent="0.25">
      <c r="A11" s="803"/>
      <c r="B11" s="579" t="str">
        <f t="shared" si="6"/>
        <v/>
      </c>
      <c r="C11" s="580">
        <f t="shared" si="7"/>
        <v>6</v>
      </c>
      <c r="D11" s="581"/>
      <c r="E11" s="582"/>
      <c r="F11" s="641"/>
      <c r="G11" s="642"/>
      <c r="H11" s="643">
        <f>IF(F11&gt;0,G11/F11*1000,0)</f>
        <v>0</v>
      </c>
      <c r="I11" s="585">
        <f>IF($Q$1&gt;0,TGsh!E9*$M$4%+TGsh!F9*(1-$M$4%),0)</f>
        <v>0</v>
      </c>
      <c r="J11" s="644">
        <f t="shared" si="9"/>
        <v>0</v>
      </c>
      <c r="K11" s="612" t="s">
        <v>160</v>
      </c>
      <c r="L11" s="613">
        <f>L8</f>
        <v>0</v>
      </c>
      <c r="M11" s="614">
        <f>IF(M3&gt;0,L11/M3,0)</f>
        <v>0</v>
      </c>
      <c r="N11" s="645">
        <f>N8</f>
        <v>0</v>
      </c>
      <c r="O11" s="591"/>
      <c r="P11" s="592"/>
      <c r="Q11" s="592"/>
      <c r="R11" s="616">
        <f t="shared" si="20"/>
        <v>0</v>
      </c>
      <c r="S11" s="594"/>
      <c r="T11" s="592"/>
      <c r="U11" s="595"/>
      <c r="V11" s="593">
        <f>V10+S11-IF(T$5="Bulto X 40 K",T11,T11/40)-U11</f>
        <v>0</v>
      </c>
      <c r="W11" s="592"/>
      <c r="X11" s="596"/>
      <c r="Y11" s="596"/>
      <c r="Z11" s="593">
        <f>Z10+W11-IF(X$5="Bulto X 40 K",X11,X11/40)-Y11</f>
        <v>0</v>
      </c>
      <c r="AA11" s="597">
        <f t="shared" si="16"/>
        <v>0</v>
      </c>
      <c r="AB11" s="598">
        <f t="shared" si="17"/>
        <v>0</v>
      </c>
      <c r="AC11" s="599">
        <f t="shared" si="10"/>
        <v>0</v>
      </c>
      <c r="AD11" s="600">
        <f t="shared" si="1"/>
        <v>0</v>
      </c>
      <c r="AE11" s="601">
        <f t="shared" si="11"/>
        <v>0</v>
      </c>
      <c r="AF11" s="602">
        <f t="shared" si="12"/>
        <v>0</v>
      </c>
      <c r="AG11" s="603">
        <f t="shared" si="2"/>
        <v>0</v>
      </c>
      <c r="AH11" s="604">
        <f>IF($M$3&gt;0,TGsh!C9*$M$4%+TGsh!D9*(1-$M$4%),0)</f>
        <v>0</v>
      </c>
      <c r="AI11" s="771"/>
      <c r="AJ11" s="637" t="s">
        <v>37</v>
      </c>
      <c r="AK11" s="646">
        <f>IF(AK10&gt;0,AK8/AK10/10,0)</f>
        <v>0</v>
      </c>
      <c r="AL11" s="647">
        <f>IF(AL10&gt;0,AL8/AL10/10,0)</f>
        <v>0</v>
      </c>
      <c r="AM11" s="640" t="str">
        <f>IF(AK11&gt;0,(AK11-AL11)/AL11*100,"")</f>
        <v/>
      </c>
      <c r="AN11" s="505"/>
      <c r="AO11" s="622">
        <f t="shared" si="18"/>
        <v>5</v>
      </c>
      <c r="AP11" s="623">
        <f>AK34</f>
        <v>0</v>
      </c>
      <c r="AQ11" s="623">
        <f t="shared" ref="AQ11:AR11" si="22">AL34</f>
        <v>0</v>
      </c>
      <c r="AR11" s="624" t="str">
        <f t="shared" si="22"/>
        <v/>
      </c>
      <c r="AS11" s="545">
        <f t="shared" si="3"/>
        <v>0</v>
      </c>
      <c r="AT11" s="545">
        <f t="shared" si="4"/>
        <v>0</v>
      </c>
      <c r="AU11" s="545">
        <f t="shared" si="5"/>
        <v>0</v>
      </c>
      <c r="AV11" s="505"/>
      <c r="AW11" s="505"/>
      <c r="AX11" s="505"/>
      <c r="AY11" s="505"/>
      <c r="AZ11" s="505"/>
      <c r="BA11" s="505"/>
      <c r="BB11" s="505"/>
      <c r="BC11" s="505"/>
      <c r="BD11" s="505"/>
      <c r="BE11" s="505"/>
      <c r="BF11" s="505"/>
      <c r="BG11" s="578" t="s">
        <v>149</v>
      </c>
    </row>
    <row r="12" spans="1:67" ht="16.5" thickBot="1" x14ac:dyDescent="0.3">
      <c r="A12" s="804"/>
      <c r="B12" s="648" t="str">
        <f t="shared" si="6"/>
        <v/>
      </c>
      <c r="C12" s="649">
        <f t="shared" si="7"/>
        <v>7</v>
      </c>
      <c r="D12" s="650"/>
      <c r="E12" s="651"/>
      <c r="F12" s="652"/>
      <c r="G12" s="650"/>
      <c r="H12" s="653">
        <f t="shared" si="8"/>
        <v>0</v>
      </c>
      <c r="I12" s="654">
        <f>IF($Q$1&gt;0,TGsh!E10*$M$4%+TGsh!F10*(1-$M$4%),0)</f>
        <v>0</v>
      </c>
      <c r="J12" s="655">
        <f t="shared" si="9"/>
        <v>0</v>
      </c>
      <c r="K12" s="656" t="s">
        <v>161</v>
      </c>
      <c r="L12" s="657">
        <f>SUM(L10:L11)</f>
        <v>0</v>
      </c>
      <c r="M12" s="658">
        <f>IF(M3&gt;0,L12/M3,0)</f>
        <v>0</v>
      </c>
      <c r="N12" s="659">
        <f ca="1">SUM(N10:N11)</f>
        <v>0</v>
      </c>
      <c r="O12" s="660"/>
      <c r="P12" s="661"/>
      <c r="Q12" s="661"/>
      <c r="R12" s="662">
        <f t="shared" si="20"/>
        <v>0</v>
      </c>
      <c r="S12" s="663"/>
      <c r="T12" s="661"/>
      <c r="U12" s="664"/>
      <c r="V12" s="665">
        <f t="shared" si="15"/>
        <v>0</v>
      </c>
      <c r="W12" s="661"/>
      <c r="X12" s="666"/>
      <c r="Y12" s="666"/>
      <c r="Z12" s="667">
        <f t="shared" ref="Z12:Z61" si="23">Z11+W12-IF(X$5="Bulto X 40 K",X12,X12/40)-Y12</f>
        <v>0</v>
      </c>
      <c r="AA12" s="668">
        <f t="shared" si="16"/>
        <v>0</v>
      </c>
      <c r="AB12" s="669">
        <f t="shared" si="17"/>
        <v>0</v>
      </c>
      <c r="AC12" s="670">
        <f t="shared" si="10"/>
        <v>0</v>
      </c>
      <c r="AD12" s="671">
        <f t="shared" si="1"/>
        <v>0</v>
      </c>
      <c r="AE12" s="672">
        <f t="shared" si="11"/>
        <v>0</v>
      </c>
      <c r="AF12" s="673">
        <f t="shared" si="12"/>
        <v>0</v>
      </c>
      <c r="AG12" s="674">
        <f t="shared" si="2"/>
        <v>0</v>
      </c>
      <c r="AH12" s="675">
        <f>IF($M$3&gt;0,TGsh!C10*$M$4%+TGsh!D10*(1-$M$4%),0)</f>
        <v>0</v>
      </c>
      <c r="AI12" s="676">
        <f>IF('Liq-Zoot'!$E$31&gt;0,AK8/1000*J12/'Liq-Zoot'!$E$31,0)</f>
        <v>0</v>
      </c>
      <c r="AJ12" s="677" t="s">
        <v>5</v>
      </c>
      <c r="AK12" s="678">
        <f>IF(AK10&gt;0,AK11/AK10,0)</f>
        <v>0</v>
      </c>
      <c r="AL12" s="679">
        <f>IF(AL10&gt;0,AL11/AL10,0)</f>
        <v>0</v>
      </c>
      <c r="AM12" s="680" t="str">
        <f>IF(AK12&gt;0,(AK12-AL12)/AL12*100,"")</f>
        <v/>
      </c>
      <c r="AN12" s="505"/>
      <c r="AO12" s="622">
        <f t="shared" si="18"/>
        <v>6</v>
      </c>
      <c r="AP12" s="623">
        <f>AK41</f>
        <v>0</v>
      </c>
      <c r="AQ12" s="623">
        <f t="shared" ref="AQ12:AR12" si="24">AL41</f>
        <v>0</v>
      </c>
      <c r="AR12" s="624" t="str">
        <f t="shared" si="24"/>
        <v/>
      </c>
      <c r="AS12" s="545">
        <f t="shared" si="3"/>
        <v>0</v>
      </c>
      <c r="AT12" s="545">
        <f t="shared" si="4"/>
        <v>0</v>
      </c>
      <c r="AU12" s="545">
        <f t="shared" si="5"/>
        <v>0</v>
      </c>
      <c r="AV12" s="505"/>
      <c r="AW12" s="505"/>
      <c r="AX12" s="505"/>
      <c r="AY12" s="505"/>
      <c r="AZ12" s="505"/>
      <c r="BA12" s="505"/>
      <c r="BB12" s="505"/>
      <c r="BC12" s="505"/>
      <c r="BD12" s="505"/>
      <c r="BE12" s="505"/>
      <c r="BF12" s="505"/>
      <c r="BG12" s="578" t="s">
        <v>150</v>
      </c>
      <c r="BH12" s="681"/>
      <c r="BI12" s="681"/>
      <c r="BJ12" s="681"/>
    </row>
    <row r="13" spans="1:67" ht="15.75" customHeight="1" x14ac:dyDescent="0.25">
      <c r="A13" s="802" t="s">
        <v>11</v>
      </c>
      <c r="B13" s="546" t="str">
        <f t="shared" si="6"/>
        <v/>
      </c>
      <c r="C13" s="547">
        <f t="shared" si="7"/>
        <v>8</v>
      </c>
      <c r="D13" s="548"/>
      <c r="E13" s="549"/>
      <c r="F13" s="550"/>
      <c r="G13" s="548"/>
      <c r="H13" s="551">
        <f t="shared" si="0"/>
        <v>0</v>
      </c>
      <c r="I13" s="552">
        <f>IF($Q$1&gt;0,TGsh!E11*$M$4%+TGsh!F11*(1-$M$4%),0)</f>
        <v>0</v>
      </c>
      <c r="J13" s="553">
        <f t="shared" si="9"/>
        <v>0</v>
      </c>
      <c r="K13" s="554" t="str">
        <f>$K$6</f>
        <v>Item</v>
      </c>
      <c r="L13" s="555" t="str">
        <f>$L$6</f>
        <v>#</v>
      </c>
      <c r="M13" s="555" t="str">
        <f>$M$6</f>
        <v>Real %</v>
      </c>
      <c r="N13" s="556" t="str">
        <f>$N$6</f>
        <v>Guia %</v>
      </c>
      <c r="O13" s="682"/>
      <c r="P13" s="561"/>
      <c r="Q13" s="557"/>
      <c r="R13" s="683">
        <f t="shared" si="20"/>
        <v>0</v>
      </c>
      <c r="S13" s="559"/>
      <c r="T13" s="561"/>
      <c r="U13" s="560"/>
      <c r="V13" s="558">
        <f>V12+S13-IF(T$5="Bulto X 40 K",T13,T13/40)-U13</f>
        <v>0</v>
      </c>
      <c r="W13" s="557"/>
      <c r="X13" s="561"/>
      <c r="Y13" s="561"/>
      <c r="Z13" s="558">
        <f>Z12+W13-IF(X$5="Bulto X 40 K",X13,X13/40)-Y13</f>
        <v>0</v>
      </c>
      <c r="AA13" s="562">
        <f>O13+S13+W13</f>
        <v>0</v>
      </c>
      <c r="AB13" s="563">
        <f t="shared" si="17"/>
        <v>0</v>
      </c>
      <c r="AC13" s="564">
        <f t="shared" si="10"/>
        <v>0</v>
      </c>
      <c r="AD13" s="565">
        <f t="shared" si="1"/>
        <v>0</v>
      </c>
      <c r="AE13" s="566">
        <f t="shared" si="11"/>
        <v>0</v>
      </c>
      <c r="AF13" s="567">
        <f t="shared" si="12"/>
        <v>0</v>
      </c>
      <c r="AG13" s="568">
        <f t="shared" si="2"/>
        <v>0</v>
      </c>
      <c r="AH13" s="569">
        <f>IF($M$3&gt;0,TGsh!C11*$M$4%+TGsh!D11*(1-$M$4%),0)</f>
        <v>0</v>
      </c>
      <c r="AI13" s="684" t="str">
        <f>$AI$6</f>
        <v>Gr. Obten.</v>
      </c>
      <c r="AJ13" s="571" t="str">
        <f>$AJ$6</f>
        <v>Cons Sem</v>
      </c>
      <c r="AK13" s="572">
        <f>IF((J19+SUM(F13:F19))&gt;0,SUM(AD13:AD19)*40000/(J19+SUM(F13:F19)),0)</f>
        <v>0</v>
      </c>
      <c r="AL13" s="573">
        <f>SUMIF($AD13:$AD19,"&gt;0",AH13:AH19)</f>
        <v>0</v>
      </c>
      <c r="AM13" s="574" t="str">
        <f>IF(AK13&gt;0,(AK13-AL13)/AL13*100,"")</f>
        <v/>
      </c>
      <c r="AN13" s="505"/>
      <c r="AO13" s="622">
        <f t="shared" si="18"/>
        <v>7</v>
      </c>
      <c r="AP13" s="623">
        <f>AK48</f>
        <v>0</v>
      </c>
      <c r="AQ13" s="623">
        <f t="shared" ref="AQ13:AR13" si="25">AL48</f>
        <v>0</v>
      </c>
      <c r="AR13" s="624" t="str">
        <f t="shared" si="25"/>
        <v/>
      </c>
      <c r="AS13" s="545">
        <f t="shared" si="3"/>
        <v>0</v>
      </c>
      <c r="AT13" s="545">
        <f t="shared" si="4"/>
        <v>0</v>
      </c>
      <c r="AU13" s="545">
        <f t="shared" si="5"/>
        <v>0</v>
      </c>
      <c r="AV13" s="505"/>
      <c r="AW13" s="505"/>
      <c r="AX13" s="505"/>
      <c r="AY13" s="505"/>
      <c r="AZ13" s="505"/>
      <c r="BA13" s="505"/>
      <c r="BB13" s="505"/>
      <c r="BC13" s="505"/>
      <c r="BD13" s="505"/>
      <c r="BE13" s="505"/>
      <c r="BF13" s="505"/>
      <c r="BH13" s="681"/>
      <c r="BI13" s="681"/>
      <c r="BJ13" s="681"/>
    </row>
    <row r="14" spans="1:67" ht="16.5" thickBot="1" x14ac:dyDescent="0.3">
      <c r="A14" s="803"/>
      <c r="B14" s="579" t="str">
        <f t="shared" si="6"/>
        <v/>
      </c>
      <c r="C14" s="580">
        <f t="shared" si="7"/>
        <v>9</v>
      </c>
      <c r="D14" s="581"/>
      <c r="E14" s="582"/>
      <c r="F14" s="583"/>
      <c r="G14" s="581"/>
      <c r="H14" s="584">
        <f t="shared" si="0"/>
        <v>0</v>
      </c>
      <c r="I14" s="685">
        <f>IF($Q$1&gt;0,TGsh!E12*$M$4%+TGsh!F12*(1-$M$4%),0)</f>
        <v>0</v>
      </c>
      <c r="J14" s="586">
        <f t="shared" si="9"/>
        <v>0</v>
      </c>
      <c r="K14" s="686" t="str">
        <f>$K$7</f>
        <v xml:space="preserve">Mort Sem </v>
      </c>
      <c r="L14" s="588">
        <f>SUM(D13:D19)</f>
        <v>0</v>
      </c>
      <c r="M14" s="589">
        <f>IF(J12&gt;0,L14/J12,0)</f>
        <v>0</v>
      </c>
      <c r="N14" s="590">
        <f ca="1">SUM(TGsh!G11:G17)</f>
        <v>0</v>
      </c>
      <c r="O14" s="591"/>
      <c r="P14" s="596"/>
      <c r="Q14" s="596"/>
      <c r="R14" s="616">
        <f t="shared" si="20"/>
        <v>0</v>
      </c>
      <c r="S14" s="594"/>
      <c r="T14" s="596"/>
      <c r="U14" s="595"/>
      <c r="V14" s="593">
        <f>V13+S14-IF(T$5="Bulto X 40 K",T14,T14/40)-U14</f>
        <v>0</v>
      </c>
      <c r="W14" s="592"/>
      <c r="X14" s="596"/>
      <c r="Y14" s="596"/>
      <c r="Z14" s="593">
        <f>Z13+W14-IF(X$5="Bulto X 40 K",X14,X14/40)-Y14</f>
        <v>0</v>
      </c>
      <c r="AA14" s="597">
        <f t="shared" si="16"/>
        <v>0</v>
      </c>
      <c r="AB14" s="598">
        <f t="shared" si="17"/>
        <v>0</v>
      </c>
      <c r="AC14" s="599">
        <f t="shared" si="10"/>
        <v>0</v>
      </c>
      <c r="AD14" s="600">
        <f t="shared" si="1"/>
        <v>0</v>
      </c>
      <c r="AE14" s="601">
        <f t="shared" si="11"/>
        <v>0</v>
      </c>
      <c r="AF14" s="602">
        <f t="shared" si="12"/>
        <v>0</v>
      </c>
      <c r="AG14" s="603">
        <f t="shared" si="2"/>
        <v>0</v>
      </c>
      <c r="AH14" s="604">
        <f>IF($M$3&gt;0,TGsh!C12*$M$4%+TGsh!D12*(1-$M$4%),0)</f>
        <v>0</v>
      </c>
      <c r="AI14" s="605">
        <f>IF(SUM(AD13:AD19)&gt;0,AVERAGEIF(AD13:AD19,"&gt;0",AG13:AG19),0)</f>
        <v>0</v>
      </c>
      <c r="AJ14" s="606" t="str">
        <f>$AJ$7</f>
        <v>Cons Acum</v>
      </c>
      <c r="AK14" s="607">
        <f>IF((J19+SUM(F$6:F19))&gt;0,SUM(AD$6:AD19)*40000/(J19+SUM(F$6:F19)),0)</f>
        <v>0</v>
      </c>
      <c r="AL14" s="608">
        <f>AL7+AL13</f>
        <v>0</v>
      </c>
      <c r="AM14" s="609" t="str">
        <f>IF(AK13&gt;0,(AK14-AL14)/AL14*100,"")</f>
        <v/>
      </c>
      <c r="AN14" s="505"/>
      <c r="AO14" s="687">
        <f t="shared" ref="AO14" si="26">AO13+1</f>
        <v>8</v>
      </c>
      <c r="AP14" s="688">
        <f>AK55</f>
        <v>0</v>
      </c>
      <c r="AQ14" s="688">
        <f t="shared" ref="AQ14:AR14" si="27">AL55</f>
        <v>0</v>
      </c>
      <c r="AR14" s="689" t="str">
        <f t="shared" si="27"/>
        <v/>
      </c>
      <c r="AS14" s="545">
        <f t="shared" si="3"/>
        <v>0</v>
      </c>
      <c r="AT14" s="545">
        <f t="shared" si="4"/>
        <v>0</v>
      </c>
      <c r="AU14" s="545">
        <f t="shared" si="5"/>
        <v>0</v>
      </c>
      <c r="AV14" s="505"/>
      <c r="AW14" s="505"/>
      <c r="AX14" s="505"/>
      <c r="AY14" s="505"/>
      <c r="AZ14" s="505"/>
      <c r="BA14" s="505"/>
      <c r="BB14" s="505"/>
      <c r="BC14" s="505"/>
      <c r="BD14" s="505"/>
      <c r="BE14" s="505"/>
      <c r="BF14" s="505"/>
      <c r="BH14" s="681"/>
      <c r="BI14" s="681"/>
      <c r="BJ14" s="681"/>
    </row>
    <row r="15" spans="1:67" ht="16.5" thickBot="1" x14ac:dyDescent="0.3">
      <c r="A15" s="803"/>
      <c r="B15" s="579" t="str">
        <f t="shared" si="6"/>
        <v/>
      </c>
      <c r="C15" s="580">
        <f t="shared" si="7"/>
        <v>10</v>
      </c>
      <c r="D15" s="581"/>
      <c r="E15" s="582"/>
      <c r="F15" s="583"/>
      <c r="G15" s="581"/>
      <c r="H15" s="584">
        <f t="shared" si="0"/>
        <v>0</v>
      </c>
      <c r="I15" s="685">
        <f>IF($Q$1&gt;0,TGsh!E13*$M$4%+TGsh!F13*(1-$M$4%),0)</f>
        <v>0</v>
      </c>
      <c r="J15" s="586">
        <f t="shared" si="9"/>
        <v>0</v>
      </c>
      <c r="K15" s="690" t="str">
        <f>$K$8</f>
        <v xml:space="preserve">Sel Sem </v>
      </c>
      <c r="L15" s="613">
        <f>SUM(E13:E19)</f>
        <v>0</v>
      </c>
      <c r="M15" s="614">
        <f>IF(J12&gt;0,L15/J12,0)</f>
        <v>0</v>
      </c>
      <c r="N15" s="615">
        <v>0</v>
      </c>
      <c r="O15" s="591"/>
      <c r="P15" s="596"/>
      <c r="Q15" s="596"/>
      <c r="R15" s="616">
        <f t="shared" si="20"/>
        <v>0</v>
      </c>
      <c r="S15" s="594"/>
      <c r="T15" s="596"/>
      <c r="U15" s="595"/>
      <c r="V15" s="593">
        <f t="shared" si="15"/>
        <v>0</v>
      </c>
      <c r="W15" s="592"/>
      <c r="X15" s="596"/>
      <c r="Y15" s="596"/>
      <c r="Z15" s="593">
        <f t="shared" si="23"/>
        <v>0</v>
      </c>
      <c r="AA15" s="597">
        <f t="shared" si="16"/>
        <v>0</v>
      </c>
      <c r="AB15" s="598">
        <f t="shared" si="17"/>
        <v>0</v>
      </c>
      <c r="AC15" s="599">
        <f t="shared" si="10"/>
        <v>0</v>
      </c>
      <c r="AD15" s="600">
        <f t="shared" ref="AD15:AD37" si="28">IF(P$5="Bulto X 40 K",P15,P15/40)+IF(T$5="Bulto X 40 K",T15,T15/40)+IF(X$5="Bulto X 40 K",X15,X15/40)</f>
        <v>0</v>
      </c>
      <c r="AE15" s="601">
        <f t="shared" si="11"/>
        <v>0</v>
      </c>
      <c r="AF15" s="602">
        <f t="shared" si="12"/>
        <v>0</v>
      </c>
      <c r="AG15" s="603">
        <f t="shared" si="2"/>
        <v>0</v>
      </c>
      <c r="AH15" s="604">
        <f>IF($M$3&gt;0,TGsh!C13*$M$4%+TGsh!D13*(1-$M$4%),0)</f>
        <v>0</v>
      </c>
      <c r="AI15" s="617" t="str">
        <f>$AI$8</f>
        <v>Gr. Guía</v>
      </c>
      <c r="AJ15" s="618" t="str">
        <f>$AJ$8</f>
        <v>Peso Sem</v>
      </c>
      <c r="AK15" s="619"/>
      <c r="AL15" s="620">
        <f>IF($Q$1&gt;0,I19,0)</f>
        <v>0</v>
      </c>
      <c r="AM15" s="621" t="str">
        <f>IF(AK15&gt;0,(AK15-AL15)/AL15*100,"")</f>
        <v/>
      </c>
      <c r="AN15" s="505"/>
      <c r="AO15" s="575" t="s">
        <v>9</v>
      </c>
      <c r="AP15" s="576" t="s">
        <v>27</v>
      </c>
      <c r="AQ15" s="576" t="s">
        <v>28</v>
      </c>
      <c r="AR15" s="577" t="s">
        <v>14</v>
      </c>
      <c r="AS15" s="545">
        <f t="shared" si="3"/>
        <v>0</v>
      </c>
      <c r="AT15" s="545">
        <f t="shared" si="4"/>
        <v>0</v>
      </c>
      <c r="AU15" s="545">
        <f t="shared" si="5"/>
        <v>0</v>
      </c>
      <c r="AV15" s="505"/>
      <c r="AW15" s="505"/>
      <c r="AX15" s="505"/>
      <c r="AY15" s="505"/>
      <c r="AZ15" s="505"/>
      <c r="BA15" s="505"/>
      <c r="BB15" s="505"/>
      <c r="BC15" s="505"/>
      <c r="BD15" s="505"/>
      <c r="BE15" s="505"/>
      <c r="BF15" s="505"/>
      <c r="BH15" s="681"/>
      <c r="BI15" s="681"/>
      <c r="BJ15" s="681"/>
    </row>
    <row r="16" spans="1:67" ht="15.75" x14ac:dyDescent="0.25">
      <c r="A16" s="803"/>
      <c r="B16" s="579" t="str">
        <f t="shared" si="6"/>
        <v/>
      </c>
      <c r="C16" s="580">
        <f t="shared" si="7"/>
        <v>11</v>
      </c>
      <c r="D16" s="581"/>
      <c r="E16" s="582"/>
      <c r="F16" s="583"/>
      <c r="G16" s="581"/>
      <c r="H16" s="584">
        <f t="shared" si="0"/>
        <v>0</v>
      </c>
      <c r="I16" s="685">
        <f>IF($Q$1&gt;0,TGsh!E14*$M$4%+TGsh!F14*(1-$M$4%),0)</f>
        <v>0</v>
      </c>
      <c r="J16" s="586">
        <f t="shared" si="9"/>
        <v>0</v>
      </c>
      <c r="K16" s="691" t="str">
        <f>$K$9</f>
        <v xml:space="preserve">Mort + Sel Sem </v>
      </c>
      <c r="L16" s="626">
        <f>SUM(L14:L15)</f>
        <v>0</v>
      </c>
      <c r="M16" s="627">
        <f>IF(J12&gt;0,L16/J12,0)</f>
        <v>0</v>
      </c>
      <c r="N16" s="628">
        <f ca="1">SUM(N14:N15)</f>
        <v>0</v>
      </c>
      <c r="O16" s="591"/>
      <c r="P16" s="596"/>
      <c r="Q16" s="596"/>
      <c r="R16" s="616">
        <f t="shared" si="20"/>
        <v>0</v>
      </c>
      <c r="S16" s="594"/>
      <c r="T16" s="596"/>
      <c r="U16" s="595"/>
      <c r="V16" s="593">
        <f t="shared" si="15"/>
        <v>0</v>
      </c>
      <c r="W16" s="592"/>
      <c r="X16" s="596"/>
      <c r="Y16" s="596"/>
      <c r="Z16" s="593">
        <f t="shared" si="23"/>
        <v>0</v>
      </c>
      <c r="AA16" s="597">
        <f t="shared" si="16"/>
        <v>0</v>
      </c>
      <c r="AB16" s="598">
        <f t="shared" si="17"/>
        <v>0</v>
      </c>
      <c r="AC16" s="599">
        <f t="shared" si="10"/>
        <v>0</v>
      </c>
      <c r="AD16" s="600">
        <f t="shared" si="28"/>
        <v>0</v>
      </c>
      <c r="AE16" s="601">
        <f t="shared" si="11"/>
        <v>0</v>
      </c>
      <c r="AF16" s="602">
        <f t="shared" si="12"/>
        <v>0</v>
      </c>
      <c r="AG16" s="603">
        <f t="shared" si="2"/>
        <v>0</v>
      </c>
      <c r="AH16" s="604">
        <f>IF($M$3&gt;0,TGsh!C14*$M$4%+TGsh!D14*(1-$M$4%),0)</f>
        <v>0</v>
      </c>
      <c r="AI16" s="605">
        <f>IF(SUM(AD13:AD19)&gt;0,AVERAGEIF(AD13:AD19,"&gt;0",AH13:AH19),0)</f>
        <v>0</v>
      </c>
      <c r="AJ16" s="629" t="str">
        <f>AJ9</f>
        <v>Gan Dia</v>
      </c>
      <c r="AK16" s="630">
        <f>IF(AND(AK8&gt;0,AK15&gt;0),(AK15-AK8)/7,0)</f>
        <v>0</v>
      </c>
      <c r="AL16" s="631">
        <f>IF(AND(AL8&gt;0,AL15&gt;0),(AL15-AL8)/7,0)</f>
        <v>0</v>
      </c>
      <c r="AM16" s="632" t="str">
        <f>IF(AK16&gt;0,(AK16-AL16)/AL16*100,"")</f>
        <v/>
      </c>
      <c r="AN16" s="505"/>
      <c r="AO16" s="610">
        <v>1</v>
      </c>
      <c r="AP16" s="572">
        <f>AK7</f>
        <v>0</v>
      </c>
      <c r="AQ16" s="572">
        <f>AL7</f>
        <v>0</v>
      </c>
      <c r="AR16" s="611" t="str">
        <f>AM7</f>
        <v/>
      </c>
      <c r="AS16" s="545">
        <f t="shared" si="3"/>
        <v>0</v>
      </c>
      <c r="AT16" s="545">
        <f t="shared" si="4"/>
        <v>0</v>
      </c>
      <c r="AU16" s="545">
        <f t="shared" si="5"/>
        <v>0</v>
      </c>
      <c r="AV16" s="505"/>
      <c r="AW16" s="505"/>
      <c r="AX16" s="505"/>
      <c r="AY16" s="505"/>
      <c r="AZ16" s="505"/>
      <c r="BA16" s="505"/>
      <c r="BB16" s="505"/>
      <c r="BC16" s="505"/>
      <c r="BD16" s="505"/>
      <c r="BE16" s="505"/>
      <c r="BF16" s="505"/>
      <c r="BH16" s="681"/>
      <c r="BI16" s="681"/>
      <c r="BJ16" s="681"/>
    </row>
    <row r="17" spans="1:62" ht="15.75" customHeight="1" x14ac:dyDescent="0.25">
      <c r="A17" s="803"/>
      <c r="B17" s="579" t="str">
        <f t="shared" si="6"/>
        <v/>
      </c>
      <c r="C17" s="580">
        <f t="shared" si="7"/>
        <v>12</v>
      </c>
      <c r="D17" s="581"/>
      <c r="E17" s="582"/>
      <c r="F17" s="583"/>
      <c r="G17" s="581"/>
      <c r="H17" s="584">
        <f t="shared" si="0"/>
        <v>0</v>
      </c>
      <c r="I17" s="685">
        <f>IF($Q$1&gt;0,TGsh!E15*$M$4%+TGsh!F15*(1-$M$4%),0)</f>
        <v>0</v>
      </c>
      <c r="J17" s="586">
        <f t="shared" si="9"/>
        <v>0</v>
      </c>
      <c r="K17" s="692" t="str">
        <f>$K$10</f>
        <v xml:space="preserve">Mort Acum </v>
      </c>
      <c r="L17" s="634">
        <f>L14+L10</f>
        <v>0</v>
      </c>
      <c r="M17" s="635">
        <f>IF($M$3&gt;0,L17/$M$3,0)</f>
        <v>0</v>
      </c>
      <c r="N17" s="636">
        <f ca="1">TGsh!H17</f>
        <v>0</v>
      </c>
      <c r="O17" s="591"/>
      <c r="P17" s="596"/>
      <c r="Q17" s="596"/>
      <c r="R17" s="616">
        <f t="shared" si="20"/>
        <v>0</v>
      </c>
      <c r="S17" s="594"/>
      <c r="T17" s="596"/>
      <c r="U17" s="595"/>
      <c r="V17" s="593">
        <f t="shared" si="15"/>
        <v>0</v>
      </c>
      <c r="W17" s="592"/>
      <c r="X17" s="596"/>
      <c r="Y17" s="596"/>
      <c r="Z17" s="593">
        <f t="shared" si="23"/>
        <v>0</v>
      </c>
      <c r="AA17" s="597">
        <f t="shared" si="16"/>
        <v>0</v>
      </c>
      <c r="AB17" s="598">
        <f t="shared" si="17"/>
        <v>0</v>
      </c>
      <c r="AC17" s="599">
        <f t="shared" si="10"/>
        <v>0</v>
      </c>
      <c r="AD17" s="600">
        <f t="shared" si="28"/>
        <v>0</v>
      </c>
      <c r="AE17" s="601">
        <f t="shared" si="11"/>
        <v>0</v>
      </c>
      <c r="AF17" s="602">
        <f t="shared" si="12"/>
        <v>0</v>
      </c>
      <c r="AG17" s="603">
        <f t="shared" si="2"/>
        <v>0</v>
      </c>
      <c r="AH17" s="604">
        <f>IF($M$3&gt;0,TGsh!C15*$M$4%+TGsh!D15*(1-$M$4%),0)</f>
        <v>0</v>
      </c>
      <c r="AI17" s="770" t="s">
        <v>188</v>
      </c>
      <c r="AJ17" s="637" t="str">
        <f>$AJ$10</f>
        <v>Conversión</v>
      </c>
      <c r="AK17" s="638">
        <f>IF(AK15&gt;0,AK14/AK15,0)</f>
        <v>0</v>
      </c>
      <c r="AL17" s="639">
        <f>IF(AL15&gt;0,AL14/AL15,0)</f>
        <v>0</v>
      </c>
      <c r="AM17" s="640" t="str">
        <f>IF(AK15&gt;0,-(AK17-AL17)/AL17*100,"")</f>
        <v/>
      </c>
      <c r="AN17" s="505"/>
      <c r="AO17" s="622">
        <f>AO16+1</f>
        <v>2</v>
      </c>
      <c r="AP17" s="623">
        <f>AK14</f>
        <v>0</v>
      </c>
      <c r="AQ17" s="623">
        <f>AL14</f>
        <v>0</v>
      </c>
      <c r="AR17" s="624" t="str">
        <f>AM14</f>
        <v/>
      </c>
      <c r="AS17" s="545">
        <f t="shared" si="3"/>
        <v>0</v>
      </c>
      <c r="AT17" s="545">
        <f t="shared" si="4"/>
        <v>0</v>
      </c>
      <c r="AU17" s="545">
        <f t="shared" si="5"/>
        <v>0</v>
      </c>
      <c r="AV17" s="505"/>
      <c r="AW17" s="505"/>
      <c r="AX17" s="505"/>
      <c r="AY17" s="505"/>
      <c r="AZ17" s="505"/>
      <c r="BA17" s="505"/>
      <c r="BB17" s="505"/>
      <c r="BC17" s="505"/>
      <c r="BD17" s="505"/>
      <c r="BE17" s="505"/>
      <c r="BF17" s="505"/>
      <c r="BH17" s="681"/>
      <c r="BI17" s="681"/>
      <c r="BJ17" s="681"/>
    </row>
    <row r="18" spans="1:62" ht="15.75" x14ac:dyDescent="0.25">
      <c r="A18" s="803"/>
      <c r="B18" s="579" t="str">
        <f t="shared" si="6"/>
        <v/>
      </c>
      <c r="C18" s="580">
        <f t="shared" si="7"/>
        <v>13</v>
      </c>
      <c r="D18" s="581"/>
      <c r="E18" s="582"/>
      <c r="F18" s="583"/>
      <c r="G18" s="642"/>
      <c r="H18" s="643">
        <f t="shared" si="0"/>
        <v>0</v>
      </c>
      <c r="I18" s="585">
        <f>IF($Q$1&gt;0,TGsh!E16*$M$4%+TGsh!F16*(1-$M$4%),0)</f>
        <v>0</v>
      </c>
      <c r="J18" s="644">
        <f t="shared" si="9"/>
        <v>0</v>
      </c>
      <c r="K18" s="690" t="str">
        <f>$K$11</f>
        <v xml:space="preserve">Sel Acum </v>
      </c>
      <c r="L18" s="613">
        <f>L15+L11</f>
        <v>0</v>
      </c>
      <c r="M18" s="614">
        <f>IF($M$3&gt;0,L18/$M$3,0)</f>
        <v>0</v>
      </c>
      <c r="N18" s="645">
        <f>N15+N11</f>
        <v>0</v>
      </c>
      <c r="O18" s="591"/>
      <c r="P18" s="596"/>
      <c r="Q18" s="596"/>
      <c r="R18" s="616">
        <f t="shared" si="20"/>
        <v>0</v>
      </c>
      <c r="S18" s="594"/>
      <c r="T18" s="596"/>
      <c r="U18" s="595"/>
      <c r="V18" s="593">
        <f t="shared" si="15"/>
        <v>0</v>
      </c>
      <c r="W18" s="592"/>
      <c r="X18" s="596"/>
      <c r="Y18" s="596"/>
      <c r="Z18" s="593">
        <f t="shared" si="23"/>
        <v>0</v>
      </c>
      <c r="AA18" s="597">
        <f t="shared" si="16"/>
        <v>0</v>
      </c>
      <c r="AB18" s="598">
        <f t="shared" si="17"/>
        <v>0</v>
      </c>
      <c r="AC18" s="599">
        <f t="shared" si="10"/>
        <v>0</v>
      </c>
      <c r="AD18" s="600">
        <f t="shared" si="28"/>
        <v>0</v>
      </c>
      <c r="AE18" s="601">
        <f t="shared" si="11"/>
        <v>0</v>
      </c>
      <c r="AF18" s="602">
        <f t="shared" si="12"/>
        <v>0</v>
      </c>
      <c r="AG18" s="603">
        <f t="shared" si="2"/>
        <v>0</v>
      </c>
      <c r="AH18" s="604">
        <f>IF($M$3&gt;0,TGsh!C16*$M$4%+TGsh!D16*(1-$M$4%),0)</f>
        <v>0</v>
      </c>
      <c r="AI18" s="771"/>
      <c r="AJ18" s="637" t="str">
        <f>$AJ$11</f>
        <v>Ef. Alim</v>
      </c>
      <c r="AK18" s="646">
        <f>IF(AK17&gt;0,AK15/AK17/10,0)</f>
        <v>0</v>
      </c>
      <c r="AL18" s="647">
        <f>IF(AL17&gt;0,AL15/AL17/10,0)</f>
        <v>0</v>
      </c>
      <c r="AM18" s="640" t="str">
        <f>IF(AK18&gt;0,(AK18-AL18)/AL18*100,"")</f>
        <v/>
      </c>
      <c r="AN18" s="505"/>
      <c r="AO18" s="622">
        <f t="shared" ref="AO18:AO22" si="29">AO17+1</f>
        <v>3</v>
      </c>
      <c r="AP18" s="623">
        <f>AK21</f>
        <v>0</v>
      </c>
      <c r="AQ18" s="623">
        <f>AL21</f>
        <v>0</v>
      </c>
      <c r="AR18" s="624" t="str">
        <f>AM21</f>
        <v/>
      </c>
      <c r="AS18" s="545">
        <f t="shared" si="3"/>
        <v>0</v>
      </c>
      <c r="AT18" s="545">
        <f t="shared" si="4"/>
        <v>0</v>
      </c>
      <c r="AU18" s="545">
        <f t="shared" si="5"/>
        <v>0</v>
      </c>
      <c r="AV18" s="505"/>
      <c r="AW18" s="505"/>
      <c r="AX18" s="505"/>
      <c r="AY18" s="505"/>
      <c r="AZ18" s="505"/>
      <c r="BA18" s="505"/>
      <c r="BB18" s="505"/>
      <c r="BC18" s="505"/>
      <c r="BD18" s="505"/>
      <c r="BE18" s="505"/>
      <c r="BF18" s="505"/>
      <c r="BH18" s="681"/>
      <c r="BI18" s="681"/>
      <c r="BJ18" s="681"/>
    </row>
    <row r="19" spans="1:62" ht="16.5" thickBot="1" x14ac:dyDescent="0.3">
      <c r="A19" s="804"/>
      <c r="B19" s="648" t="str">
        <f t="shared" si="6"/>
        <v/>
      </c>
      <c r="C19" s="649">
        <f t="shared" si="7"/>
        <v>14</v>
      </c>
      <c r="D19" s="650"/>
      <c r="E19" s="651"/>
      <c r="F19" s="652"/>
      <c r="G19" s="650"/>
      <c r="H19" s="653">
        <f t="shared" si="0"/>
        <v>0</v>
      </c>
      <c r="I19" s="654">
        <f>IF($Q$1&gt;0,TGsh!E17*$M$4%+TGsh!F17*(1-$M$4%),0)</f>
        <v>0</v>
      </c>
      <c r="J19" s="655">
        <f t="shared" si="9"/>
        <v>0</v>
      </c>
      <c r="K19" s="693" t="str">
        <f>$K$12</f>
        <v xml:space="preserve">Mort + Sel Acum </v>
      </c>
      <c r="L19" s="657">
        <f>L16+L12</f>
        <v>0</v>
      </c>
      <c r="M19" s="658">
        <f>IF($M$3&gt;0,L19/$M$3,0)</f>
        <v>0</v>
      </c>
      <c r="N19" s="659">
        <f ca="1">SUM(N17:N18)</f>
        <v>0</v>
      </c>
      <c r="O19" s="660"/>
      <c r="P19" s="666"/>
      <c r="Q19" s="666"/>
      <c r="R19" s="662">
        <f t="shared" si="20"/>
        <v>0</v>
      </c>
      <c r="S19" s="663"/>
      <c r="T19" s="666"/>
      <c r="U19" s="664"/>
      <c r="V19" s="665">
        <f t="shared" si="15"/>
        <v>0</v>
      </c>
      <c r="W19" s="661"/>
      <c r="X19" s="666"/>
      <c r="Y19" s="666"/>
      <c r="Z19" s="667">
        <f t="shared" si="23"/>
        <v>0</v>
      </c>
      <c r="AA19" s="668">
        <f t="shared" si="16"/>
        <v>0</v>
      </c>
      <c r="AB19" s="669">
        <f t="shared" si="17"/>
        <v>0</v>
      </c>
      <c r="AC19" s="670">
        <f t="shared" si="10"/>
        <v>0</v>
      </c>
      <c r="AD19" s="671">
        <f t="shared" si="28"/>
        <v>0</v>
      </c>
      <c r="AE19" s="672">
        <f t="shared" si="11"/>
        <v>0</v>
      </c>
      <c r="AF19" s="673">
        <f t="shared" si="12"/>
        <v>0</v>
      </c>
      <c r="AG19" s="674">
        <f t="shared" si="2"/>
        <v>0</v>
      </c>
      <c r="AH19" s="675">
        <f>IF($M$3&gt;0,TGsh!C17*$M$4%+TGsh!D17*(1-$M$4%),0)</f>
        <v>0</v>
      </c>
      <c r="AI19" s="676">
        <f>IF('Liq-Zoot'!$E$31&gt;0,AK15/1000*J19/'Liq-Zoot'!$E$31,0)</f>
        <v>0</v>
      </c>
      <c r="AJ19" s="677" t="str">
        <f>$AJ$12</f>
        <v>Fact. IP</v>
      </c>
      <c r="AK19" s="678">
        <f>IF(AK17&gt;0,AK18/AK17,0)</f>
        <v>0</v>
      </c>
      <c r="AL19" s="679">
        <f>IF(AL17&gt;0,AL18/AL17,0)</f>
        <v>0</v>
      </c>
      <c r="AM19" s="680" t="str">
        <f>IF(AK19&gt;0,(AK19-AL19)/AL19*100,"")</f>
        <v/>
      </c>
      <c r="AN19" s="505"/>
      <c r="AO19" s="622">
        <f t="shared" si="29"/>
        <v>4</v>
      </c>
      <c r="AP19" s="623">
        <f>AK28</f>
        <v>0</v>
      </c>
      <c r="AQ19" s="623">
        <f>AL28</f>
        <v>0</v>
      </c>
      <c r="AR19" s="624" t="str">
        <f>AM28</f>
        <v/>
      </c>
      <c r="AS19" s="545">
        <f t="shared" si="3"/>
        <v>0</v>
      </c>
      <c r="AT19" s="545">
        <f t="shared" si="4"/>
        <v>0</v>
      </c>
      <c r="AU19" s="545">
        <f t="shared" si="5"/>
        <v>0</v>
      </c>
      <c r="AV19" s="505"/>
      <c r="AW19" s="505"/>
      <c r="AX19" s="505"/>
      <c r="AY19" s="505"/>
      <c r="AZ19" s="505"/>
      <c r="BA19" s="505"/>
      <c r="BB19" s="505"/>
      <c r="BC19" s="505"/>
      <c r="BD19" s="505"/>
      <c r="BE19" s="505"/>
      <c r="BF19" s="505"/>
      <c r="BG19" s="681"/>
      <c r="BH19" s="681"/>
      <c r="BI19" s="681"/>
      <c r="BJ19" s="681"/>
    </row>
    <row r="20" spans="1:62" ht="15.75" customHeight="1" x14ac:dyDescent="0.25">
      <c r="A20" s="802" t="s">
        <v>12</v>
      </c>
      <c r="B20" s="546" t="str">
        <f t="shared" si="6"/>
        <v/>
      </c>
      <c r="C20" s="547">
        <f t="shared" si="7"/>
        <v>15</v>
      </c>
      <c r="D20" s="548"/>
      <c r="E20" s="549"/>
      <c r="F20" s="550"/>
      <c r="G20" s="548"/>
      <c r="H20" s="551">
        <f t="shared" si="0"/>
        <v>0</v>
      </c>
      <c r="I20" s="552">
        <f>IF($Q$1&gt;0,TGsh!E18*$M$4%+TGsh!F18*(1-$M$4%),0)</f>
        <v>0</v>
      </c>
      <c r="J20" s="553">
        <f t="shared" si="9"/>
        <v>0</v>
      </c>
      <c r="K20" s="554" t="str">
        <f>$K$6</f>
        <v>Item</v>
      </c>
      <c r="L20" s="555" t="str">
        <f>$L$6</f>
        <v>#</v>
      </c>
      <c r="M20" s="555" t="str">
        <f>$M$6</f>
        <v>Real %</v>
      </c>
      <c r="N20" s="556" t="str">
        <f t="shared" ref="N20" si="30">$N$6</f>
        <v>Guia %</v>
      </c>
      <c r="O20" s="682"/>
      <c r="P20" s="561"/>
      <c r="Q20" s="561"/>
      <c r="R20" s="683">
        <f t="shared" si="20"/>
        <v>0</v>
      </c>
      <c r="S20" s="559"/>
      <c r="T20" s="561"/>
      <c r="U20" s="560"/>
      <c r="V20" s="558">
        <f t="shared" si="15"/>
        <v>0</v>
      </c>
      <c r="W20" s="557"/>
      <c r="X20" s="561"/>
      <c r="Y20" s="561"/>
      <c r="Z20" s="558">
        <f t="shared" si="23"/>
        <v>0</v>
      </c>
      <c r="AA20" s="562">
        <f t="shared" si="16"/>
        <v>0</v>
      </c>
      <c r="AB20" s="563">
        <f t="shared" si="17"/>
        <v>0</v>
      </c>
      <c r="AC20" s="564">
        <f t="shared" si="10"/>
        <v>0</v>
      </c>
      <c r="AD20" s="565">
        <f t="shared" si="28"/>
        <v>0</v>
      </c>
      <c r="AE20" s="566">
        <f t="shared" si="11"/>
        <v>0</v>
      </c>
      <c r="AF20" s="567">
        <f t="shared" si="12"/>
        <v>0</v>
      </c>
      <c r="AG20" s="568">
        <f t="shared" si="2"/>
        <v>0</v>
      </c>
      <c r="AH20" s="569">
        <f>IF($M$3&gt;0,TGsh!C18*$M$4%+TGsh!D18*(1-$M$4%),0)</f>
        <v>0</v>
      </c>
      <c r="AI20" s="684" t="str">
        <f>$AI$6</f>
        <v>Gr. Obten.</v>
      </c>
      <c r="AJ20" s="571" t="str">
        <f>$AJ$6</f>
        <v>Cons Sem</v>
      </c>
      <c r="AK20" s="572">
        <f>IF((J26+SUM(F20:F26))&gt;0,SUM(AD20:AD26)*40000/(J26+SUM(F20:F26)),0)</f>
        <v>0</v>
      </c>
      <c r="AL20" s="573">
        <f>SUMIF($AD20:$AD26,"&gt;0",AH20:AH26)</f>
        <v>0</v>
      </c>
      <c r="AM20" s="574" t="str">
        <f>IF(AK20&gt;0,(AK20-AL20)/AL20*100,"")</f>
        <v/>
      </c>
      <c r="AN20" s="505"/>
      <c r="AO20" s="622">
        <f t="shared" si="29"/>
        <v>5</v>
      </c>
      <c r="AP20" s="623">
        <f>AK35</f>
        <v>0</v>
      </c>
      <c r="AQ20" s="623">
        <f>AL35</f>
        <v>0</v>
      </c>
      <c r="AR20" s="624" t="str">
        <f>AM35</f>
        <v/>
      </c>
      <c r="AS20" s="545">
        <f t="shared" si="3"/>
        <v>0</v>
      </c>
      <c r="AT20" s="545">
        <f t="shared" si="4"/>
        <v>0</v>
      </c>
      <c r="AU20" s="545">
        <f t="shared" si="5"/>
        <v>0</v>
      </c>
      <c r="AV20" s="505"/>
      <c r="AW20" s="505"/>
      <c r="AX20" s="505"/>
      <c r="AY20" s="505"/>
      <c r="AZ20" s="505"/>
      <c r="BA20" s="505"/>
      <c r="BB20" s="505"/>
      <c r="BC20" s="505"/>
      <c r="BD20" s="505"/>
      <c r="BE20" s="505"/>
      <c r="BF20" s="505"/>
    </row>
    <row r="21" spans="1:62" ht="16.5" thickBot="1" x14ac:dyDescent="0.3">
      <c r="A21" s="803"/>
      <c r="B21" s="579" t="str">
        <f t="shared" si="6"/>
        <v/>
      </c>
      <c r="C21" s="580">
        <f t="shared" si="7"/>
        <v>16</v>
      </c>
      <c r="D21" s="581"/>
      <c r="E21" s="582"/>
      <c r="F21" s="583"/>
      <c r="G21" s="581"/>
      <c r="H21" s="584">
        <f t="shared" si="0"/>
        <v>0</v>
      </c>
      <c r="I21" s="685">
        <f>IF($Q$1&gt;0,TGsh!E19*$M$4%+TGsh!F19*(1-$M$4%),0)</f>
        <v>0</v>
      </c>
      <c r="J21" s="586">
        <f t="shared" si="9"/>
        <v>0</v>
      </c>
      <c r="K21" s="686" t="str">
        <f>$K$7</f>
        <v xml:space="preserve">Mort Sem </v>
      </c>
      <c r="L21" s="588">
        <f>SUM(D20:D26)</f>
        <v>0</v>
      </c>
      <c r="M21" s="589">
        <f>IF(J19&gt;0,L21/J19,0)</f>
        <v>0</v>
      </c>
      <c r="N21" s="590">
        <f ca="1">SUM(TGsh!G18:G24)</f>
        <v>0</v>
      </c>
      <c r="O21" s="591"/>
      <c r="P21" s="596"/>
      <c r="Q21" s="596"/>
      <c r="R21" s="616">
        <f t="shared" si="20"/>
        <v>0</v>
      </c>
      <c r="S21" s="594"/>
      <c r="T21" s="596"/>
      <c r="U21" s="595"/>
      <c r="V21" s="593">
        <f t="shared" si="15"/>
        <v>0</v>
      </c>
      <c r="W21" s="592"/>
      <c r="X21" s="596"/>
      <c r="Y21" s="596"/>
      <c r="Z21" s="593">
        <f t="shared" si="23"/>
        <v>0</v>
      </c>
      <c r="AA21" s="597">
        <f t="shared" si="16"/>
        <v>0</v>
      </c>
      <c r="AB21" s="598">
        <f t="shared" si="17"/>
        <v>0</v>
      </c>
      <c r="AC21" s="599">
        <f t="shared" si="10"/>
        <v>0</v>
      </c>
      <c r="AD21" s="600">
        <f t="shared" si="28"/>
        <v>0</v>
      </c>
      <c r="AE21" s="601">
        <f t="shared" si="11"/>
        <v>0</v>
      </c>
      <c r="AF21" s="602">
        <f t="shared" si="12"/>
        <v>0</v>
      </c>
      <c r="AG21" s="603">
        <f t="shared" si="2"/>
        <v>0</v>
      </c>
      <c r="AH21" s="604">
        <f>IF($M$3&gt;0,TGsh!C19*$M$4%+TGsh!D19*(1-$M$4%),0)</f>
        <v>0</v>
      </c>
      <c r="AI21" s="605">
        <f>IF(SUM(AD20:AD26)&gt;0,AVERAGEIF(AD20:AD26,"&gt;0",AG20:AG26),0)</f>
        <v>0</v>
      </c>
      <c r="AJ21" s="606" t="str">
        <f>$AJ$7</f>
        <v>Cons Acum</v>
      </c>
      <c r="AK21" s="607">
        <f>IF((J26+SUM(F$6:F26))&gt;0,SUM(AD$6:AD26)*40000/(J26+SUM(F$6:F26)),0)</f>
        <v>0</v>
      </c>
      <c r="AL21" s="608">
        <f>AL14+AL20</f>
        <v>0</v>
      </c>
      <c r="AM21" s="609" t="str">
        <f>IF(AK20&gt;0,(AK21-AL21)/AL21*100,"")</f>
        <v/>
      </c>
      <c r="AN21" s="505"/>
      <c r="AO21" s="622">
        <f t="shared" si="29"/>
        <v>6</v>
      </c>
      <c r="AP21" s="623">
        <f>AK42</f>
        <v>0</v>
      </c>
      <c r="AQ21" s="623">
        <f>AL42</f>
        <v>0</v>
      </c>
      <c r="AR21" s="624" t="str">
        <f>AM42</f>
        <v/>
      </c>
      <c r="AS21" s="545">
        <f t="shared" si="3"/>
        <v>0</v>
      </c>
      <c r="AT21" s="545">
        <f t="shared" si="4"/>
        <v>0</v>
      </c>
      <c r="AU21" s="545">
        <f t="shared" si="5"/>
        <v>0</v>
      </c>
      <c r="AV21" s="505"/>
      <c r="AW21" s="505"/>
      <c r="AX21" s="505"/>
      <c r="AY21" s="505"/>
      <c r="AZ21" s="505"/>
      <c r="BA21" s="505"/>
      <c r="BB21" s="505"/>
      <c r="BC21" s="505"/>
      <c r="BD21" s="505"/>
      <c r="BE21" s="505"/>
      <c r="BF21" s="505"/>
    </row>
    <row r="22" spans="1:62" ht="16.5" thickBot="1" x14ac:dyDescent="0.3">
      <c r="A22" s="803"/>
      <c r="B22" s="579" t="str">
        <f t="shared" si="6"/>
        <v/>
      </c>
      <c r="C22" s="580">
        <f t="shared" si="7"/>
        <v>17</v>
      </c>
      <c r="D22" s="581"/>
      <c r="E22" s="582"/>
      <c r="F22" s="583"/>
      <c r="G22" s="581"/>
      <c r="H22" s="584">
        <f t="shared" si="0"/>
        <v>0</v>
      </c>
      <c r="I22" s="685">
        <f>IF($Q$1&gt;0,TGsh!E20*$M$4%+TGsh!F20*(1-$M$4%),0)</f>
        <v>0</v>
      </c>
      <c r="J22" s="586">
        <f t="shared" si="9"/>
        <v>0</v>
      </c>
      <c r="K22" s="690" t="str">
        <f>$K$8</f>
        <v xml:space="preserve">Sel Sem </v>
      </c>
      <c r="L22" s="613">
        <f>SUM(E20:E26)</f>
        <v>0</v>
      </c>
      <c r="M22" s="614">
        <f>IF(J19&gt;0,L22/J19,0)</f>
        <v>0</v>
      </c>
      <c r="N22" s="615">
        <v>0</v>
      </c>
      <c r="O22" s="591"/>
      <c r="P22" s="596"/>
      <c r="Q22" s="596"/>
      <c r="R22" s="616">
        <f t="shared" si="20"/>
        <v>0</v>
      </c>
      <c r="S22" s="594"/>
      <c r="T22" s="596"/>
      <c r="U22" s="595"/>
      <c r="V22" s="593">
        <f t="shared" si="15"/>
        <v>0</v>
      </c>
      <c r="W22" s="592"/>
      <c r="X22" s="596"/>
      <c r="Y22" s="596"/>
      <c r="Z22" s="593">
        <f t="shared" si="23"/>
        <v>0</v>
      </c>
      <c r="AA22" s="597">
        <f t="shared" si="16"/>
        <v>0</v>
      </c>
      <c r="AB22" s="598">
        <f t="shared" si="17"/>
        <v>0</v>
      </c>
      <c r="AC22" s="599">
        <f t="shared" si="10"/>
        <v>0</v>
      </c>
      <c r="AD22" s="600">
        <f t="shared" si="28"/>
        <v>0</v>
      </c>
      <c r="AE22" s="601">
        <f t="shared" si="11"/>
        <v>0</v>
      </c>
      <c r="AF22" s="602">
        <f t="shared" si="12"/>
        <v>0</v>
      </c>
      <c r="AG22" s="603">
        <f t="shared" si="2"/>
        <v>0</v>
      </c>
      <c r="AH22" s="604">
        <f>IF($M$3&gt;0,TGsh!C20*$M$4%+TGsh!D20*(1-$M$4%),0)</f>
        <v>0</v>
      </c>
      <c r="AI22" s="617" t="str">
        <f>$AI$8</f>
        <v>Gr. Guía</v>
      </c>
      <c r="AJ22" s="618" t="str">
        <f>$AJ$8</f>
        <v>Peso Sem</v>
      </c>
      <c r="AK22" s="619"/>
      <c r="AL22" s="620">
        <f>IF($Q$1&gt;0,I26,0)</f>
        <v>0</v>
      </c>
      <c r="AM22" s="621" t="str">
        <f>IF(AK22&gt;0,(AK22-AL22)/AL22*100,"")</f>
        <v/>
      </c>
      <c r="AN22" s="505"/>
      <c r="AO22" s="622">
        <f t="shared" si="29"/>
        <v>7</v>
      </c>
      <c r="AP22" s="623">
        <f>AK49</f>
        <v>0</v>
      </c>
      <c r="AQ22" s="623">
        <f>AL49</f>
        <v>0</v>
      </c>
      <c r="AR22" s="624" t="str">
        <f>AM49</f>
        <v/>
      </c>
      <c r="AS22" s="545">
        <f t="shared" si="3"/>
        <v>0</v>
      </c>
      <c r="AT22" s="545">
        <f t="shared" si="4"/>
        <v>0</v>
      </c>
      <c r="AU22" s="545">
        <f t="shared" si="5"/>
        <v>0</v>
      </c>
      <c r="AV22" s="505"/>
      <c r="AW22" s="505"/>
      <c r="AX22" s="505"/>
      <c r="AY22" s="505"/>
      <c r="AZ22" s="505"/>
      <c r="BA22" s="505"/>
      <c r="BB22" s="505"/>
      <c r="BC22" s="505"/>
      <c r="BD22" s="505"/>
      <c r="BE22" s="505"/>
      <c r="BF22" s="505"/>
    </row>
    <row r="23" spans="1:62" ht="16.5" thickBot="1" x14ac:dyDescent="0.3">
      <c r="A23" s="803"/>
      <c r="B23" s="579" t="str">
        <f t="shared" si="6"/>
        <v/>
      </c>
      <c r="C23" s="580">
        <f t="shared" si="7"/>
        <v>18</v>
      </c>
      <c r="D23" s="581"/>
      <c r="E23" s="582"/>
      <c r="F23" s="583"/>
      <c r="G23" s="581"/>
      <c r="H23" s="584">
        <f t="shared" si="0"/>
        <v>0</v>
      </c>
      <c r="I23" s="685">
        <f>IF($Q$1&gt;0,TGsh!E21*$M$4%+TGsh!F21*(1-$M$4%),0)</f>
        <v>0</v>
      </c>
      <c r="J23" s="586">
        <f t="shared" si="9"/>
        <v>0</v>
      </c>
      <c r="K23" s="691" t="str">
        <f>$K$9</f>
        <v xml:space="preserve">Mort + Sel Sem </v>
      </c>
      <c r="L23" s="626">
        <f>SUM(L21:L22)</f>
        <v>0</v>
      </c>
      <c r="M23" s="627">
        <f>IF(J19&gt;0,L23/J19,0)</f>
        <v>0</v>
      </c>
      <c r="N23" s="628">
        <f t="shared" ref="N23" ca="1" si="31">SUM(N21:N22)</f>
        <v>0</v>
      </c>
      <c r="O23" s="591"/>
      <c r="P23" s="596"/>
      <c r="Q23" s="596"/>
      <c r="R23" s="616">
        <f t="shared" si="20"/>
        <v>0</v>
      </c>
      <c r="S23" s="594"/>
      <c r="T23" s="596"/>
      <c r="U23" s="595"/>
      <c r="V23" s="593">
        <f t="shared" si="15"/>
        <v>0</v>
      </c>
      <c r="W23" s="592"/>
      <c r="X23" s="596"/>
      <c r="Y23" s="596"/>
      <c r="Z23" s="593">
        <f t="shared" si="23"/>
        <v>0</v>
      </c>
      <c r="AA23" s="597">
        <f t="shared" si="16"/>
        <v>0</v>
      </c>
      <c r="AB23" s="598">
        <f t="shared" si="17"/>
        <v>0</v>
      </c>
      <c r="AC23" s="599">
        <f t="shared" si="10"/>
        <v>0</v>
      </c>
      <c r="AD23" s="600">
        <f t="shared" si="28"/>
        <v>0</v>
      </c>
      <c r="AE23" s="601">
        <f t="shared" si="11"/>
        <v>0</v>
      </c>
      <c r="AF23" s="602">
        <f t="shared" si="12"/>
        <v>0</v>
      </c>
      <c r="AG23" s="603">
        <f t="shared" si="2"/>
        <v>0</v>
      </c>
      <c r="AH23" s="604">
        <f>IF($M$3&gt;0,TGsh!C21*$M$4%+TGsh!D21*(1-$M$4%),0)</f>
        <v>0</v>
      </c>
      <c r="AI23" s="605">
        <f>IF(SUM(AD20:AD26)&gt;0,AVERAGEIF(AD20:AD26,"&gt;0",AH20:AH26),0)</f>
        <v>0</v>
      </c>
      <c r="AJ23" s="629" t="str">
        <f t="shared" ref="AJ23" si="32">AJ16</f>
        <v>Gan Dia</v>
      </c>
      <c r="AK23" s="630">
        <f>IF(AND(AK15&gt;0,AK22&gt;0),(AK22-AK15)/(COUNTIF(AD20:AD26,"&gt;0")),0)</f>
        <v>0</v>
      </c>
      <c r="AL23" s="631">
        <f>IF(AND(AL15&gt;0,AL22&gt;0,COUNTIF(AD20:AD26,"&gt;0")),(AL22-AL15)/COUNTIF(AD20:AD26,"&gt;0"),0)</f>
        <v>0</v>
      </c>
      <c r="AM23" s="632" t="str">
        <f>IF(AK23&gt;0,(AK23-AL23)/AL23*100,"")</f>
        <v/>
      </c>
      <c r="AN23" s="694"/>
      <c r="AO23" s="687">
        <f t="shared" ref="AO23" si="33">AO22+1</f>
        <v>8</v>
      </c>
      <c r="AP23" s="688">
        <f>AK56</f>
        <v>0</v>
      </c>
      <c r="AQ23" s="688">
        <f t="shared" ref="AQ23:AR23" si="34">AL56</f>
        <v>0</v>
      </c>
      <c r="AR23" s="689" t="str">
        <f t="shared" si="34"/>
        <v/>
      </c>
      <c r="AS23" s="545">
        <f t="shared" si="3"/>
        <v>0</v>
      </c>
      <c r="AT23" s="545">
        <f t="shared" si="4"/>
        <v>0</v>
      </c>
      <c r="AU23" s="545">
        <f t="shared" si="5"/>
        <v>0</v>
      </c>
      <c r="AV23" s="505"/>
      <c r="AW23" s="505"/>
      <c r="AX23" s="505"/>
      <c r="AY23" s="505"/>
      <c r="AZ23" s="505"/>
      <c r="BA23" s="505"/>
      <c r="BB23" s="505"/>
      <c r="BC23" s="505"/>
      <c r="BD23" s="505"/>
      <c r="BE23" s="505"/>
      <c r="BF23" s="505"/>
    </row>
    <row r="24" spans="1:62" ht="16.5" customHeight="1" thickBot="1" x14ac:dyDescent="0.3">
      <c r="A24" s="803"/>
      <c r="B24" s="579" t="str">
        <f t="shared" si="6"/>
        <v/>
      </c>
      <c r="C24" s="580">
        <f t="shared" si="7"/>
        <v>19</v>
      </c>
      <c r="D24" s="581"/>
      <c r="E24" s="582"/>
      <c r="F24" s="583"/>
      <c r="G24" s="581"/>
      <c r="H24" s="584">
        <f t="shared" si="0"/>
        <v>0</v>
      </c>
      <c r="I24" s="685">
        <f>IF($Q$1&gt;0,TGsh!E22*$M$4%+TGsh!F22*(1-$M$4%),0)</f>
        <v>0</v>
      </c>
      <c r="J24" s="586">
        <f t="shared" si="9"/>
        <v>0</v>
      </c>
      <c r="K24" s="692" t="str">
        <f>$K$10</f>
        <v xml:space="preserve">Mort Acum </v>
      </c>
      <c r="L24" s="634">
        <f>L21+L17</f>
        <v>0</v>
      </c>
      <c r="M24" s="635">
        <f>IF($M$3&gt;0,L24/$M$3,0)</f>
        <v>0</v>
      </c>
      <c r="N24" s="636">
        <f ca="1">TGsh!H24</f>
        <v>0</v>
      </c>
      <c r="O24" s="591"/>
      <c r="P24" s="596"/>
      <c r="Q24" s="596"/>
      <c r="R24" s="616">
        <f t="shared" si="20"/>
        <v>0</v>
      </c>
      <c r="S24" s="594"/>
      <c r="T24" s="596"/>
      <c r="U24" s="595"/>
      <c r="V24" s="593">
        <f t="shared" si="15"/>
        <v>0</v>
      </c>
      <c r="W24" s="592"/>
      <c r="X24" s="596"/>
      <c r="Y24" s="596"/>
      <c r="Z24" s="593">
        <f t="shared" si="23"/>
        <v>0</v>
      </c>
      <c r="AA24" s="597">
        <f t="shared" si="16"/>
        <v>0</v>
      </c>
      <c r="AB24" s="598">
        <f t="shared" si="17"/>
        <v>0</v>
      </c>
      <c r="AC24" s="599">
        <f t="shared" si="10"/>
        <v>0</v>
      </c>
      <c r="AD24" s="600">
        <f t="shared" si="28"/>
        <v>0</v>
      </c>
      <c r="AE24" s="601">
        <f t="shared" si="11"/>
        <v>0</v>
      </c>
      <c r="AF24" s="602">
        <f t="shared" si="12"/>
        <v>0</v>
      </c>
      <c r="AG24" s="603">
        <f t="shared" si="2"/>
        <v>0</v>
      </c>
      <c r="AH24" s="604">
        <f>IF($M$3&gt;0,TGsh!C22*$M$4%+TGsh!D22*(1-$M$4%),0)</f>
        <v>0</v>
      </c>
      <c r="AI24" s="770" t="s">
        <v>188</v>
      </c>
      <c r="AJ24" s="637" t="str">
        <f>$AJ$10</f>
        <v>Conversión</v>
      </c>
      <c r="AK24" s="638">
        <f>IF(AK22&gt;0,AK21/AK22,0)</f>
        <v>0</v>
      </c>
      <c r="AL24" s="639">
        <f>IF(AL22&gt;0,AL21/AL22,0)</f>
        <v>0</v>
      </c>
      <c r="AM24" s="640" t="str">
        <f>IF(AK22&gt;0,-(AK24-AL24)/AL24*100,"")</f>
        <v/>
      </c>
      <c r="AN24" s="505"/>
      <c r="AO24" s="575" t="s">
        <v>9</v>
      </c>
      <c r="AP24" s="576" t="s">
        <v>29</v>
      </c>
      <c r="AQ24" s="576" t="s">
        <v>30</v>
      </c>
      <c r="AR24" s="577" t="s">
        <v>14</v>
      </c>
      <c r="AS24" s="545">
        <f t="shared" si="3"/>
        <v>0</v>
      </c>
      <c r="AT24" s="545">
        <f t="shared" si="4"/>
        <v>0</v>
      </c>
      <c r="AU24" s="545">
        <f t="shared" si="5"/>
        <v>0</v>
      </c>
      <c r="AV24" s="505"/>
      <c r="AW24" s="505"/>
      <c r="AX24" s="505"/>
      <c r="AY24" s="505"/>
      <c r="AZ24" s="505"/>
      <c r="BA24" s="505"/>
      <c r="BB24" s="505"/>
      <c r="BC24" s="505"/>
      <c r="BD24" s="505"/>
      <c r="BE24" s="505"/>
      <c r="BF24" s="505"/>
    </row>
    <row r="25" spans="1:62" ht="15.75" x14ac:dyDescent="0.25">
      <c r="A25" s="803"/>
      <c r="B25" s="579" t="str">
        <f t="shared" si="6"/>
        <v/>
      </c>
      <c r="C25" s="580">
        <f t="shared" si="7"/>
        <v>20</v>
      </c>
      <c r="D25" s="581"/>
      <c r="E25" s="582"/>
      <c r="F25" s="583"/>
      <c r="G25" s="642"/>
      <c r="H25" s="643">
        <f t="shared" si="0"/>
        <v>0</v>
      </c>
      <c r="I25" s="585">
        <f>IF($Q$1&gt;0,TGsh!E23*$M$4%+TGsh!F23*(1-$M$4%),0)</f>
        <v>0</v>
      </c>
      <c r="J25" s="644">
        <f t="shared" si="9"/>
        <v>0</v>
      </c>
      <c r="K25" s="690" t="str">
        <f>$K$11</f>
        <v xml:space="preserve">Sel Acum </v>
      </c>
      <c r="L25" s="613">
        <f>L22+L18</f>
        <v>0</v>
      </c>
      <c r="M25" s="614">
        <f>IF($M$3&gt;0,L25/$M$3,0)</f>
        <v>0</v>
      </c>
      <c r="N25" s="645">
        <f t="shared" ref="N25" si="35">N22+N18</f>
        <v>0</v>
      </c>
      <c r="O25" s="591"/>
      <c r="P25" s="596"/>
      <c r="Q25" s="596"/>
      <c r="R25" s="616">
        <f t="shared" si="20"/>
        <v>0</v>
      </c>
      <c r="S25" s="594"/>
      <c r="T25" s="596"/>
      <c r="U25" s="595"/>
      <c r="V25" s="593">
        <f t="shared" si="15"/>
        <v>0</v>
      </c>
      <c r="W25" s="592"/>
      <c r="X25" s="596"/>
      <c r="Y25" s="596"/>
      <c r="Z25" s="593">
        <f t="shared" ref="Z25:Z30" si="36">Z24+W25-IF(X$5="Bulto X 40 K",X25,X25/40)-Y25</f>
        <v>0</v>
      </c>
      <c r="AA25" s="597">
        <f t="shared" si="16"/>
        <v>0</v>
      </c>
      <c r="AB25" s="598">
        <f t="shared" si="17"/>
        <v>0</v>
      </c>
      <c r="AC25" s="599">
        <f t="shared" si="10"/>
        <v>0</v>
      </c>
      <c r="AD25" s="600">
        <f t="shared" si="28"/>
        <v>0</v>
      </c>
      <c r="AE25" s="601">
        <f t="shared" si="11"/>
        <v>0</v>
      </c>
      <c r="AF25" s="602">
        <f t="shared" si="12"/>
        <v>0</v>
      </c>
      <c r="AG25" s="603">
        <f t="shared" si="2"/>
        <v>0</v>
      </c>
      <c r="AH25" s="604">
        <f>IF($M$3&gt;0,TGsh!C23*$M$4%+TGsh!D23*(1-$M$4%),0)</f>
        <v>0</v>
      </c>
      <c r="AI25" s="771"/>
      <c r="AJ25" s="637" t="str">
        <f>$AJ$11</f>
        <v>Ef. Alim</v>
      </c>
      <c r="AK25" s="646">
        <f>IF(AK24&gt;0,AK22/AK24/10,0)</f>
        <v>0</v>
      </c>
      <c r="AL25" s="647">
        <f>IF(AL24&gt;0,AL22/AL24/10,0)</f>
        <v>0</v>
      </c>
      <c r="AM25" s="640" t="str">
        <f>IF(AK25&gt;0,(AK25-AL25)/AL25*100,"")</f>
        <v/>
      </c>
      <c r="AN25" s="505"/>
      <c r="AO25" s="610">
        <v>1</v>
      </c>
      <c r="AP25" s="572">
        <f>AK8</f>
        <v>0</v>
      </c>
      <c r="AQ25" s="572">
        <f>AL8</f>
        <v>0</v>
      </c>
      <c r="AR25" s="611" t="str">
        <f>AM8</f>
        <v/>
      </c>
      <c r="AS25" s="545">
        <f t="shared" si="3"/>
        <v>0</v>
      </c>
      <c r="AT25" s="545">
        <f t="shared" si="4"/>
        <v>0</v>
      </c>
      <c r="AU25" s="545">
        <f t="shared" si="5"/>
        <v>0</v>
      </c>
      <c r="AV25" s="505"/>
      <c r="AW25" s="505"/>
      <c r="AX25" s="505"/>
      <c r="AY25" s="505"/>
      <c r="AZ25" s="505"/>
      <c r="BA25" s="505"/>
      <c r="BB25" s="505"/>
      <c r="BC25" s="505"/>
      <c r="BD25" s="505"/>
      <c r="BE25" s="505"/>
      <c r="BF25" s="505"/>
    </row>
    <row r="26" spans="1:62" ht="16.5" thickBot="1" x14ac:dyDescent="0.3">
      <c r="A26" s="804"/>
      <c r="B26" s="648" t="str">
        <f t="shared" si="6"/>
        <v/>
      </c>
      <c r="C26" s="649">
        <f t="shared" si="7"/>
        <v>21</v>
      </c>
      <c r="D26" s="650"/>
      <c r="E26" s="651"/>
      <c r="F26" s="652"/>
      <c r="G26" s="650"/>
      <c r="H26" s="653">
        <f t="shared" si="0"/>
        <v>0</v>
      </c>
      <c r="I26" s="654">
        <f>IF($Q$1&gt;0,TGsh!E24*$M$4%+TGsh!F24*(1-$M$4%),0)</f>
        <v>0</v>
      </c>
      <c r="J26" s="655">
        <f t="shared" si="9"/>
        <v>0</v>
      </c>
      <c r="K26" s="693" t="str">
        <f>$K$12</f>
        <v xml:space="preserve">Mort + Sel Acum </v>
      </c>
      <c r="L26" s="657">
        <f>L23+L19</f>
        <v>0</v>
      </c>
      <c r="M26" s="658">
        <f>IF($M$3&gt;0,L26/$M$3,0)</f>
        <v>0</v>
      </c>
      <c r="N26" s="659">
        <f t="shared" ref="N26" ca="1" si="37">SUM(N24:N25)</f>
        <v>0</v>
      </c>
      <c r="O26" s="660"/>
      <c r="P26" s="666"/>
      <c r="Q26" s="666"/>
      <c r="R26" s="662">
        <f t="shared" si="20"/>
        <v>0</v>
      </c>
      <c r="S26" s="663"/>
      <c r="T26" s="666"/>
      <c r="U26" s="664"/>
      <c r="V26" s="665">
        <f t="shared" si="15"/>
        <v>0</v>
      </c>
      <c r="W26" s="661"/>
      <c r="X26" s="666"/>
      <c r="Y26" s="666"/>
      <c r="Z26" s="667">
        <f t="shared" si="36"/>
        <v>0</v>
      </c>
      <c r="AA26" s="668">
        <f t="shared" si="16"/>
        <v>0</v>
      </c>
      <c r="AB26" s="669">
        <f t="shared" si="17"/>
        <v>0</v>
      </c>
      <c r="AC26" s="670">
        <f t="shared" si="10"/>
        <v>0</v>
      </c>
      <c r="AD26" s="671">
        <f t="shared" si="28"/>
        <v>0</v>
      </c>
      <c r="AE26" s="672">
        <f t="shared" si="11"/>
        <v>0</v>
      </c>
      <c r="AF26" s="673">
        <f t="shared" si="12"/>
        <v>0</v>
      </c>
      <c r="AG26" s="674">
        <f t="shared" si="2"/>
        <v>0</v>
      </c>
      <c r="AH26" s="675">
        <f>IF($M$3&gt;0,TGsh!C24*$M$4%+TGsh!D24*(1-$M$4%),0)</f>
        <v>0</v>
      </c>
      <c r="AI26" s="676">
        <f>IF('Liq-Zoot'!$E$31&gt;0,AK22/1000*J26/'Liq-Zoot'!$E$31,0)</f>
        <v>0</v>
      </c>
      <c r="AJ26" s="677" t="str">
        <f>$AJ$12</f>
        <v>Fact. IP</v>
      </c>
      <c r="AK26" s="678">
        <f>IF(AK24&gt;0,AK25/AK24,0)</f>
        <v>0</v>
      </c>
      <c r="AL26" s="679">
        <f>IF(AL24&gt;0,AL25/AL24,0)</f>
        <v>0</v>
      </c>
      <c r="AM26" s="680" t="str">
        <f>IF(AK26&gt;0,(AK26-AL26)/AL26*100,"")</f>
        <v/>
      </c>
      <c r="AN26" s="505"/>
      <c r="AO26" s="622">
        <f>AO25+1</f>
        <v>2</v>
      </c>
      <c r="AP26" s="623">
        <f>AK15</f>
        <v>0</v>
      </c>
      <c r="AQ26" s="623">
        <f>AL15</f>
        <v>0</v>
      </c>
      <c r="AR26" s="624" t="str">
        <f>AM15</f>
        <v/>
      </c>
      <c r="AS26" s="545">
        <f t="shared" si="3"/>
        <v>0</v>
      </c>
      <c r="AT26" s="545">
        <f t="shared" si="4"/>
        <v>0</v>
      </c>
      <c r="AU26" s="545">
        <f t="shared" si="5"/>
        <v>0</v>
      </c>
      <c r="AV26" s="505"/>
      <c r="AW26" s="505"/>
      <c r="AX26" s="505"/>
      <c r="AY26" s="505"/>
      <c r="AZ26" s="505"/>
      <c r="BA26" s="505"/>
      <c r="BB26" s="505"/>
      <c r="BC26" s="505"/>
      <c r="BD26" s="505"/>
      <c r="BE26" s="505"/>
      <c r="BF26" s="505"/>
    </row>
    <row r="27" spans="1:62" ht="15.75" customHeight="1" x14ac:dyDescent="0.25">
      <c r="A27" s="802" t="s">
        <v>15</v>
      </c>
      <c r="B27" s="546" t="str">
        <f t="shared" ref="B27:B61" si="38">IF(B26="","",B26+1)</f>
        <v/>
      </c>
      <c r="C27" s="547">
        <f t="shared" si="7"/>
        <v>22</v>
      </c>
      <c r="D27" s="548"/>
      <c r="E27" s="549"/>
      <c r="F27" s="550"/>
      <c r="G27" s="548"/>
      <c r="H27" s="551">
        <f t="shared" si="0"/>
        <v>0</v>
      </c>
      <c r="I27" s="552">
        <f>IF($Q$1&gt;0,TGsh!E25*$M$4%+TGsh!F25*(1-$M$4%),0)</f>
        <v>0</v>
      </c>
      <c r="J27" s="553">
        <f t="shared" si="9"/>
        <v>0</v>
      </c>
      <c r="K27" s="554" t="str">
        <f>$K$6</f>
        <v>Item</v>
      </c>
      <c r="L27" s="555" t="str">
        <f>$L$6</f>
        <v>#</v>
      </c>
      <c r="M27" s="555" t="str">
        <f>$M$6</f>
        <v>Real %</v>
      </c>
      <c r="N27" s="556" t="str">
        <f t="shared" ref="N27" si="39">$N$6</f>
        <v>Guia %</v>
      </c>
      <c r="O27" s="682"/>
      <c r="P27" s="561"/>
      <c r="Q27" s="561"/>
      <c r="R27" s="683">
        <f t="shared" si="20"/>
        <v>0</v>
      </c>
      <c r="S27" s="559"/>
      <c r="T27" s="561"/>
      <c r="U27" s="560"/>
      <c r="V27" s="558">
        <f t="shared" si="15"/>
        <v>0</v>
      </c>
      <c r="W27" s="557"/>
      <c r="X27" s="561"/>
      <c r="Y27" s="561"/>
      <c r="Z27" s="558">
        <f t="shared" si="36"/>
        <v>0</v>
      </c>
      <c r="AA27" s="562">
        <f t="shared" si="16"/>
        <v>0</v>
      </c>
      <c r="AB27" s="563">
        <f t="shared" si="17"/>
        <v>0</v>
      </c>
      <c r="AC27" s="564">
        <f t="shared" si="10"/>
        <v>0</v>
      </c>
      <c r="AD27" s="565">
        <f t="shared" si="28"/>
        <v>0</v>
      </c>
      <c r="AE27" s="566">
        <f t="shared" si="11"/>
        <v>0</v>
      </c>
      <c r="AF27" s="567">
        <f t="shared" si="12"/>
        <v>0</v>
      </c>
      <c r="AG27" s="568">
        <f t="shared" si="2"/>
        <v>0</v>
      </c>
      <c r="AH27" s="569">
        <f>IF($M$3&gt;0,TGsh!C25*$M$4%+TGsh!D25*(1-$M$4%),0)</f>
        <v>0</v>
      </c>
      <c r="AI27" s="684" t="str">
        <f>$AI$6</f>
        <v>Gr. Obten.</v>
      </c>
      <c r="AJ27" s="571" t="str">
        <f>$AJ$6</f>
        <v>Cons Sem</v>
      </c>
      <c r="AK27" s="572">
        <f>IF((J33+SUM(F27:F33))&gt;0,SUM(AD27:AD33)*40000/(J33+SUM(F27:F33)),0)</f>
        <v>0</v>
      </c>
      <c r="AL27" s="573">
        <f>SUMIF($AD27:$AD33,"&gt;0",AH27:AH33)</f>
        <v>0</v>
      </c>
      <c r="AM27" s="574" t="str">
        <f>IF(AK27&gt;0,(AK27-AL27)/AL27*100,"")</f>
        <v/>
      </c>
      <c r="AN27" s="505"/>
      <c r="AO27" s="622">
        <f t="shared" ref="AO27:AO31" si="40">AO26+1</f>
        <v>3</v>
      </c>
      <c r="AP27" s="623">
        <f>AK22</f>
        <v>0</v>
      </c>
      <c r="AQ27" s="623">
        <f>AL22</f>
        <v>0</v>
      </c>
      <c r="AR27" s="624" t="str">
        <f>AM22</f>
        <v/>
      </c>
      <c r="AS27" s="545">
        <f t="shared" si="3"/>
        <v>0</v>
      </c>
      <c r="AT27" s="545">
        <f t="shared" si="4"/>
        <v>0</v>
      </c>
      <c r="AU27" s="545">
        <f t="shared" si="5"/>
        <v>0</v>
      </c>
      <c r="AV27" s="505"/>
      <c r="AW27" s="505"/>
      <c r="AX27" s="505"/>
      <c r="AY27" s="505"/>
      <c r="AZ27" s="505"/>
      <c r="BA27" s="505"/>
      <c r="BB27" s="505"/>
      <c r="BC27" s="505"/>
      <c r="BD27" s="505"/>
      <c r="BE27" s="505"/>
      <c r="BF27" s="505"/>
    </row>
    <row r="28" spans="1:62" ht="16.5" thickBot="1" x14ac:dyDescent="0.3">
      <c r="A28" s="803"/>
      <c r="B28" s="579" t="str">
        <f t="shared" si="38"/>
        <v/>
      </c>
      <c r="C28" s="580">
        <f t="shared" si="7"/>
        <v>23</v>
      </c>
      <c r="D28" s="581"/>
      <c r="E28" s="582"/>
      <c r="F28" s="583"/>
      <c r="G28" s="581"/>
      <c r="H28" s="584">
        <f t="shared" si="0"/>
        <v>0</v>
      </c>
      <c r="I28" s="685">
        <f>IF($Q$1&gt;0,TGsh!E26*$M$4%+TGsh!F26*(1-$M$4%),0)</f>
        <v>0</v>
      </c>
      <c r="J28" s="586">
        <f t="shared" si="9"/>
        <v>0</v>
      </c>
      <c r="K28" s="686" t="str">
        <f>$K$7</f>
        <v xml:space="preserve">Mort Sem </v>
      </c>
      <c r="L28" s="588">
        <f>SUM(D27:D33)</f>
        <v>0</v>
      </c>
      <c r="M28" s="589">
        <f>IF(J26&gt;0,L28/J26,0)</f>
        <v>0</v>
      </c>
      <c r="N28" s="590">
        <f ca="1">SUM(TGsh!G25:G31)</f>
        <v>0</v>
      </c>
      <c r="O28" s="591"/>
      <c r="P28" s="596"/>
      <c r="Q28" s="596"/>
      <c r="R28" s="616">
        <f t="shared" si="20"/>
        <v>0</v>
      </c>
      <c r="S28" s="594"/>
      <c r="T28" s="596"/>
      <c r="U28" s="595"/>
      <c r="V28" s="593">
        <f t="shared" si="15"/>
        <v>0</v>
      </c>
      <c r="W28" s="592"/>
      <c r="X28" s="592"/>
      <c r="Y28" s="592"/>
      <c r="Z28" s="593">
        <f t="shared" si="36"/>
        <v>0</v>
      </c>
      <c r="AA28" s="597">
        <f t="shared" si="16"/>
        <v>0</v>
      </c>
      <c r="AB28" s="598">
        <f t="shared" si="17"/>
        <v>0</v>
      </c>
      <c r="AC28" s="599">
        <f t="shared" si="10"/>
        <v>0</v>
      </c>
      <c r="AD28" s="600">
        <f t="shared" si="28"/>
        <v>0</v>
      </c>
      <c r="AE28" s="601">
        <f t="shared" si="11"/>
        <v>0</v>
      </c>
      <c r="AF28" s="602">
        <f t="shared" si="12"/>
        <v>0</v>
      </c>
      <c r="AG28" s="603">
        <f t="shared" si="2"/>
        <v>0</v>
      </c>
      <c r="AH28" s="604">
        <f>IF($M$3&gt;0,TGsh!C26*$M$4%+TGsh!D26*(1-$M$4%),0)</f>
        <v>0</v>
      </c>
      <c r="AI28" s="605">
        <f>IF(SUM(AD27:AD33)&gt;0,AVERAGEIF(AD27:AD33,"&gt;0",AG27:AG33),0)</f>
        <v>0</v>
      </c>
      <c r="AJ28" s="606" t="str">
        <f>$AJ$7</f>
        <v>Cons Acum</v>
      </c>
      <c r="AK28" s="607">
        <f>IF((J33+SUM(F$6:F33))&gt;0,SUM(AD$6:AD33)*40000/(J33+SUM(F$6:F33)),0)</f>
        <v>0</v>
      </c>
      <c r="AL28" s="608">
        <f>AL21+AL27</f>
        <v>0</v>
      </c>
      <c r="AM28" s="609" t="str">
        <f>IF(AK27&gt;0,(AK28-AL28)/AL28*100,"")</f>
        <v/>
      </c>
      <c r="AN28" s="505"/>
      <c r="AO28" s="622">
        <f t="shared" si="40"/>
        <v>4</v>
      </c>
      <c r="AP28" s="623">
        <f>AK29</f>
        <v>0</v>
      </c>
      <c r="AQ28" s="623">
        <f>AL29</f>
        <v>0</v>
      </c>
      <c r="AR28" s="624" t="str">
        <f>AM29</f>
        <v/>
      </c>
      <c r="AS28" s="545">
        <f t="shared" si="3"/>
        <v>0</v>
      </c>
      <c r="AT28" s="545">
        <f t="shared" si="4"/>
        <v>0</v>
      </c>
      <c r="AU28" s="545">
        <f t="shared" si="5"/>
        <v>0</v>
      </c>
      <c r="AV28" s="505"/>
      <c r="AW28" s="505"/>
      <c r="AX28" s="505"/>
      <c r="AY28" s="505"/>
      <c r="AZ28" s="505"/>
      <c r="BA28" s="505"/>
      <c r="BB28" s="505"/>
      <c r="BC28" s="505"/>
      <c r="BD28" s="505"/>
      <c r="BE28" s="505"/>
      <c r="BF28" s="505"/>
    </row>
    <row r="29" spans="1:62" ht="16.5" thickBot="1" x14ac:dyDescent="0.3">
      <c r="A29" s="803"/>
      <c r="B29" s="579" t="str">
        <f t="shared" si="38"/>
        <v/>
      </c>
      <c r="C29" s="580">
        <f t="shared" si="7"/>
        <v>24</v>
      </c>
      <c r="D29" s="581"/>
      <c r="E29" s="582"/>
      <c r="F29" s="583"/>
      <c r="G29" s="581"/>
      <c r="H29" s="584">
        <f t="shared" si="0"/>
        <v>0</v>
      </c>
      <c r="I29" s="685">
        <f>IF($Q$1&gt;0,TGsh!E27*$M$4%+TGsh!F27*(1-$M$4%),0)</f>
        <v>0</v>
      </c>
      <c r="J29" s="586">
        <f t="shared" si="9"/>
        <v>0</v>
      </c>
      <c r="K29" s="690" t="str">
        <f>$K$8</f>
        <v xml:space="preserve">Sel Sem </v>
      </c>
      <c r="L29" s="613">
        <f>SUM(E27:E33)</f>
        <v>0</v>
      </c>
      <c r="M29" s="614">
        <f>IF(J26&gt;0,L29/J26,0)</f>
        <v>0</v>
      </c>
      <c r="N29" s="615">
        <v>0</v>
      </c>
      <c r="O29" s="591"/>
      <c r="P29" s="596"/>
      <c r="Q29" s="596"/>
      <c r="R29" s="616">
        <f t="shared" si="20"/>
        <v>0</v>
      </c>
      <c r="S29" s="594"/>
      <c r="T29" s="596"/>
      <c r="U29" s="595"/>
      <c r="V29" s="593">
        <f t="shared" si="15"/>
        <v>0</v>
      </c>
      <c r="W29" s="592"/>
      <c r="X29" s="592"/>
      <c r="Y29" s="592"/>
      <c r="Z29" s="593">
        <f t="shared" si="36"/>
        <v>0</v>
      </c>
      <c r="AA29" s="597">
        <f t="shared" si="16"/>
        <v>0</v>
      </c>
      <c r="AB29" s="598">
        <f t="shared" si="17"/>
        <v>0</v>
      </c>
      <c r="AC29" s="599">
        <f t="shared" si="10"/>
        <v>0</v>
      </c>
      <c r="AD29" s="600">
        <f t="shared" si="28"/>
        <v>0</v>
      </c>
      <c r="AE29" s="601">
        <f t="shared" si="11"/>
        <v>0</v>
      </c>
      <c r="AF29" s="602">
        <f t="shared" si="12"/>
        <v>0</v>
      </c>
      <c r="AG29" s="603">
        <f t="shared" si="2"/>
        <v>0</v>
      </c>
      <c r="AH29" s="604">
        <f>IF($M$3&gt;0,TGsh!C27*$M$4%+TGsh!D27*(1-$M$4%),0)</f>
        <v>0</v>
      </c>
      <c r="AI29" s="617" t="str">
        <f>$AI$8</f>
        <v>Gr. Guía</v>
      </c>
      <c r="AJ29" s="618" t="str">
        <f>$AJ$8</f>
        <v>Peso Sem</v>
      </c>
      <c r="AK29" s="695">
        <f>IF(SUM(F27:F33)&gt;0,SUMPRODUCT(F27:F33,H27:H33)/SUM(F27:F33),0)</f>
        <v>0</v>
      </c>
      <c r="AL29" s="620">
        <f>IF($Q$1&gt;0,I33,0)</f>
        <v>0</v>
      </c>
      <c r="AM29" s="621" t="str">
        <f>IF(AK29&gt;0,(AK29-AL29)/AL29*100,"")</f>
        <v/>
      </c>
      <c r="AN29" s="505"/>
      <c r="AO29" s="622">
        <f t="shared" si="40"/>
        <v>5</v>
      </c>
      <c r="AP29" s="623">
        <f>AK36</f>
        <v>0</v>
      </c>
      <c r="AQ29" s="623">
        <f>AL36</f>
        <v>0</v>
      </c>
      <c r="AR29" s="624" t="str">
        <f>AM36</f>
        <v/>
      </c>
      <c r="AS29" s="545">
        <f t="shared" si="3"/>
        <v>0</v>
      </c>
      <c r="AT29" s="545">
        <f t="shared" si="4"/>
        <v>0</v>
      </c>
      <c r="AU29" s="545">
        <f t="shared" si="5"/>
        <v>0</v>
      </c>
      <c r="AV29" s="505"/>
      <c r="AW29" s="505"/>
      <c r="AX29" s="505"/>
      <c r="AY29" s="505"/>
      <c r="AZ29" s="505"/>
      <c r="BA29" s="505"/>
      <c r="BB29" s="505"/>
      <c r="BC29" s="505"/>
      <c r="BD29" s="505"/>
      <c r="BE29" s="505"/>
      <c r="BF29" s="505"/>
    </row>
    <row r="30" spans="1:62" ht="15.75" x14ac:dyDescent="0.25">
      <c r="A30" s="803"/>
      <c r="B30" s="579" t="str">
        <f t="shared" si="38"/>
        <v/>
      </c>
      <c r="C30" s="580">
        <f t="shared" si="7"/>
        <v>25</v>
      </c>
      <c r="D30" s="581"/>
      <c r="E30" s="582"/>
      <c r="F30" s="583"/>
      <c r="G30" s="581"/>
      <c r="H30" s="584">
        <f t="shared" si="0"/>
        <v>0</v>
      </c>
      <c r="I30" s="685">
        <f>IF($Q$1&gt;0,TGsh!E28*$M$4%+TGsh!F28*(1-$M$4%),0)</f>
        <v>0</v>
      </c>
      <c r="J30" s="586">
        <f t="shared" si="9"/>
        <v>0</v>
      </c>
      <c r="K30" s="691" t="str">
        <f>$K$9</f>
        <v xml:space="preserve">Mort + Sel Sem </v>
      </c>
      <c r="L30" s="626">
        <f>SUM(L28:L29)</f>
        <v>0</v>
      </c>
      <c r="M30" s="627">
        <f>IF(J26&gt;0,L30/J26,0)</f>
        <v>0</v>
      </c>
      <c r="N30" s="628">
        <f t="shared" ref="N30" ca="1" si="41">SUM(N28:N29)</f>
        <v>0</v>
      </c>
      <c r="O30" s="591"/>
      <c r="P30" s="596"/>
      <c r="Q30" s="596"/>
      <c r="R30" s="616">
        <f t="shared" si="20"/>
        <v>0</v>
      </c>
      <c r="S30" s="594"/>
      <c r="T30" s="596"/>
      <c r="U30" s="595"/>
      <c r="V30" s="593">
        <f t="shared" si="15"/>
        <v>0</v>
      </c>
      <c r="W30" s="592"/>
      <c r="X30" s="592"/>
      <c r="Y30" s="592"/>
      <c r="Z30" s="593">
        <f t="shared" si="36"/>
        <v>0</v>
      </c>
      <c r="AA30" s="597">
        <f t="shared" si="16"/>
        <v>0</v>
      </c>
      <c r="AB30" s="598">
        <f t="shared" si="17"/>
        <v>0</v>
      </c>
      <c r="AC30" s="599">
        <f t="shared" si="10"/>
        <v>0</v>
      </c>
      <c r="AD30" s="600">
        <f t="shared" si="28"/>
        <v>0</v>
      </c>
      <c r="AE30" s="601">
        <f t="shared" si="11"/>
        <v>0</v>
      </c>
      <c r="AF30" s="602">
        <f t="shared" si="12"/>
        <v>0</v>
      </c>
      <c r="AG30" s="603">
        <f t="shared" si="2"/>
        <v>0</v>
      </c>
      <c r="AH30" s="604">
        <f>IF($M$3&gt;0,TGsh!C28*$M$4%+TGsh!D28*(1-$M$4%),0)</f>
        <v>0</v>
      </c>
      <c r="AI30" s="605">
        <f>IF(SUM(AD27:AD33)&gt;0,AVERAGEIF(AD27:AD33,"&gt;0",AH27:AH33),0)</f>
        <v>0</v>
      </c>
      <c r="AJ30" s="629" t="str">
        <f t="shared" ref="AJ30" si="42">AJ23</f>
        <v>Gan Dia</v>
      </c>
      <c r="AK30" s="630">
        <f>IF(AND(AK22&gt;0,AK29&gt;0),(AK29-AK22)/(COUNTIF(AD27:AD33,"&gt;0")),0)</f>
        <v>0</v>
      </c>
      <c r="AL30" s="631">
        <f>IF(AND(AL22&gt;0,AL29&gt;0,COUNTIF(AD27:AD33,"&gt;0")),(AL29-AL22)/COUNTIF(AD27:AD33,"&gt;0"),0)</f>
        <v>0</v>
      </c>
      <c r="AM30" s="632" t="str">
        <f>IF(AK30&gt;0,(AK30-AL30)/AL30*100,"")</f>
        <v/>
      </c>
      <c r="AN30" s="694"/>
      <c r="AO30" s="622">
        <f t="shared" si="40"/>
        <v>6</v>
      </c>
      <c r="AP30" s="623">
        <f>AK43</f>
        <v>0</v>
      </c>
      <c r="AQ30" s="623">
        <f>AL43</f>
        <v>0</v>
      </c>
      <c r="AR30" s="624" t="str">
        <f>AM43</f>
        <v/>
      </c>
      <c r="AS30" s="545">
        <f t="shared" si="3"/>
        <v>0</v>
      </c>
      <c r="AT30" s="545">
        <f t="shared" si="4"/>
        <v>0</v>
      </c>
      <c r="AU30" s="545">
        <f t="shared" si="5"/>
        <v>0</v>
      </c>
      <c r="AV30" s="505"/>
      <c r="AW30" s="505"/>
      <c r="AX30" s="505"/>
      <c r="AY30" s="505"/>
      <c r="AZ30" s="505"/>
      <c r="BA30" s="505"/>
      <c r="BB30" s="505"/>
      <c r="BC30" s="505"/>
      <c r="BD30" s="505"/>
      <c r="BE30" s="505"/>
      <c r="BF30" s="505"/>
    </row>
    <row r="31" spans="1:62" ht="15.75" customHeight="1" x14ac:dyDescent="0.25">
      <c r="A31" s="803"/>
      <c r="B31" s="579" t="str">
        <f t="shared" si="38"/>
        <v/>
      </c>
      <c r="C31" s="580">
        <f t="shared" si="7"/>
        <v>26</v>
      </c>
      <c r="D31" s="581"/>
      <c r="E31" s="582"/>
      <c r="F31" s="583"/>
      <c r="G31" s="581"/>
      <c r="H31" s="584">
        <f t="shared" si="0"/>
        <v>0</v>
      </c>
      <c r="I31" s="685">
        <f>IF($Q$1&gt;0,TGsh!E29*$M$4%+TGsh!F29*(1-$M$4%),0)</f>
        <v>0</v>
      </c>
      <c r="J31" s="586">
        <f t="shared" si="9"/>
        <v>0</v>
      </c>
      <c r="K31" s="692" t="str">
        <f>$K$10</f>
        <v xml:space="preserve">Mort Acum </v>
      </c>
      <c r="L31" s="634">
        <f>L28+L24</f>
        <v>0</v>
      </c>
      <c r="M31" s="635">
        <f>IF($M$3&gt;0,L31/$M$3,0)</f>
        <v>0</v>
      </c>
      <c r="N31" s="636">
        <f ca="1">TGsh!H31</f>
        <v>0</v>
      </c>
      <c r="O31" s="591"/>
      <c r="P31" s="596"/>
      <c r="Q31" s="596"/>
      <c r="R31" s="616">
        <f t="shared" si="20"/>
        <v>0</v>
      </c>
      <c r="S31" s="594"/>
      <c r="T31" s="596"/>
      <c r="U31" s="595"/>
      <c r="V31" s="593">
        <f t="shared" si="15"/>
        <v>0</v>
      </c>
      <c r="W31" s="592"/>
      <c r="X31" s="592"/>
      <c r="Y31" s="592"/>
      <c r="Z31" s="593">
        <f t="shared" si="23"/>
        <v>0</v>
      </c>
      <c r="AA31" s="597">
        <f t="shared" si="16"/>
        <v>0</v>
      </c>
      <c r="AB31" s="598">
        <f t="shared" si="17"/>
        <v>0</v>
      </c>
      <c r="AC31" s="599">
        <f t="shared" si="10"/>
        <v>0</v>
      </c>
      <c r="AD31" s="600">
        <f t="shared" si="28"/>
        <v>0</v>
      </c>
      <c r="AE31" s="601">
        <f t="shared" si="11"/>
        <v>0</v>
      </c>
      <c r="AF31" s="602">
        <f t="shared" si="12"/>
        <v>0</v>
      </c>
      <c r="AG31" s="603">
        <f t="shared" si="2"/>
        <v>0</v>
      </c>
      <c r="AH31" s="604">
        <f>IF($M$3&gt;0,TGsh!C29*$M$4%+TGsh!D29*(1-$M$4%),0)</f>
        <v>0</v>
      </c>
      <c r="AI31" s="770" t="s">
        <v>188</v>
      </c>
      <c r="AJ31" s="637" t="str">
        <f>$AJ$10</f>
        <v>Conversión</v>
      </c>
      <c r="AK31" s="638">
        <f>IF(AK29&gt;0,AK28/AK29,0)</f>
        <v>0</v>
      </c>
      <c r="AL31" s="639">
        <f>IF(AL29&gt;0,AL28/AL29,0)</f>
        <v>0</v>
      </c>
      <c r="AM31" s="640" t="str">
        <f>IF(AK29&gt;0,-(AK31-AL31)/AL31*100,"")</f>
        <v/>
      </c>
      <c r="AN31" s="505"/>
      <c r="AO31" s="622">
        <f t="shared" si="40"/>
        <v>7</v>
      </c>
      <c r="AP31" s="623">
        <f>AK50</f>
        <v>0</v>
      </c>
      <c r="AQ31" s="623">
        <f>AL50</f>
        <v>0</v>
      </c>
      <c r="AR31" s="624" t="str">
        <f>AM50</f>
        <v/>
      </c>
      <c r="AS31" s="545">
        <f t="shared" si="3"/>
        <v>0</v>
      </c>
      <c r="AT31" s="545">
        <f t="shared" si="4"/>
        <v>0</v>
      </c>
      <c r="AU31" s="545">
        <f t="shared" si="5"/>
        <v>0</v>
      </c>
      <c r="AV31" s="505"/>
      <c r="AW31" s="505"/>
      <c r="AX31" s="505"/>
      <c r="AY31" s="505"/>
      <c r="AZ31" s="505"/>
      <c r="BA31" s="505"/>
      <c r="BB31" s="505"/>
      <c r="BC31" s="505"/>
      <c r="BD31" s="505"/>
      <c r="BE31" s="505"/>
      <c r="BF31" s="505"/>
    </row>
    <row r="32" spans="1:62" ht="16.5" thickBot="1" x14ac:dyDescent="0.3">
      <c r="A32" s="803"/>
      <c r="B32" s="579" t="str">
        <f t="shared" si="38"/>
        <v/>
      </c>
      <c r="C32" s="580">
        <f t="shared" si="7"/>
        <v>27</v>
      </c>
      <c r="D32" s="581"/>
      <c r="E32" s="582"/>
      <c r="F32" s="583"/>
      <c r="G32" s="642"/>
      <c r="H32" s="643">
        <f t="shared" si="0"/>
        <v>0</v>
      </c>
      <c r="I32" s="585">
        <f>IF($Q$1&gt;0,TGsh!E30*$M$4%+TGsh!F30*(1-$M$4%),0)</f>
        <v>0</v>
      </c>
      <c r="J32" s="644">
        <f t="shared" si="9"/>
        <v>0</v>
      </c>
      <c r="K32" s="690" t="str">
        <f>$K$11</f>
        <v xml:space="preserve">Sel Acum </v>
      </c>
      <c r="L32" s="613">
        <f>L29+L25</f>
        <v>0</v>
      </c>
      <c r="M32" s="614">
        <f>IF($M$3&gt;0,L32/$M$3,0)</f>
        <v>0</v>
      </c>
      <c r="N32" s="645">
        <f t="shared" ref="N32" si="43">N29+N25</f>
        <v>0</v>
      </c>
      <c r="O32" s="591"/>
      <c r="P32" s="596"/>
      <c r="Q32" s="596"/>
      <c r="R32" s="616">
        <f t="shared" si="20"/>
        <v>0</v>
      </c>
      <c r="S32" s="594"/>
      <c r="T32" s="596"/>
      <c r="U32" s="595"/>
      <c r="V32" s="593">
        <f t="shared" si="15"/>
        <v>0</v>
      </c>
      <c r="W32" s="592"/>
      <c r="X32" s="592"/>
      <c r="Y32" s="592"/>
      <c r="Z32" s="593">
        <f t="shared" si="23"/>
        <v>0</v>
      </c>
      <c r="AA32" s="597">
        <f t="shared" si="16"/>
        <v>0</v>
      </c>
      <c r="AB32" s="598">
        <f t="shared" si="17"/>
        <v>0</v>
      </c>
      <c r="AC32" s="599">
        <f t="shared" si="10"/>
        <v>0</v>
      </c>
      <c r="AD32" s="600">
        <f t="shared" si="28"/>
        <v>0</v>
      </c>
      <c r="AE32" s="601">
        <f t="shared" si="11"/>
        <v>0</v>
      </c>
      <c r="AF32" s="602">
        <f t="shared" si="12"/>
        <v>0</v>
      </c>
      <c r="AG32" s="603">
        <f t="shared" si="2"/>
        <v>0</v>
      </c>
      <c r="AH32" s="604">
        <f>IF($M$3&gt;0,TGsh!C30*$M$4%+TGsh!D30*(1-$M$4%),0)</f>
        <v>0</v>
      </c>
      <c r="AI32" s="771"/>
      <c r="AJ32" s="637" t="str">
        <f>$AJ$11</f>
        <v>Ef. Alim</v>
      </c>
      <c r="AK32" s="646">
        <f>IF(AK31&gt;0,AK29/AK31/10,0)</f>
        <v>0</v>
      </c>
      <c r="AL32" s="647">
        <f>IF(AL31&gt;0,AL29/AL31/10,0)</f>
        <v>0</v>
      </c>
      <c r="AM32" s="640" t="str">
        <f>IF(AK32&gt;0,(AK32-AL32)/AL32*100,"")</f>
        <v/>
      </c>
      <c r="AN32" s="505"/>
      <c r="AO32" s="687">
        <f t="shared" ref="AO32" si="44">AO31+1</f>
        <v>8</v>
      </c>
      <c r="AP32" s="688">
        <f>AK57</f>
        <v>0</v>
      </c>
      <c r="AQ32" s="688">
        <f t="shared" ref="AQ32:AR32" si="45">AL57</f>
        <v>0</v>
      </c>
      <c r="AR32" s="689" t="str">
        <f t="shared" si="45"/>
        <v/>
      </c>
      <c r="AS32" s="545">
        <f t="shared" si="3"/>
        <v>0</v>
      </c>
      <c r="AT32" s="545">
        <f t="shared" si="4"/>
        <v>0</v>
      </c>
      <c r="AU32" s="545">
        <f t="shared" si="5"/>
        <v>0</v>
      </c>
      <c r="AV32" s="505"/>
      <c r="AW32" s="505"/>
      <c r="AX32" s="505"/>
      <c r="AY32" s="505"/>
      <c r="AZ32" s="505"/>
      <c r="BA32" s="505"/>
      <c r="BB32" s="505"/>
      <c r="BC32" s="505"/>
      <c r="BD32" s="505"/>
      <c r="BE32" s="505"/>
      <c r="BF32" s="505"/>
    </row>
    <row r="33" spans="1:58" ht="16.5" thickBot="1" x14ac:dyDescent="0.3">
      <c r="A33" s="804"/>
      <c r="B33" s="648" t="str">
        <f t="shared" si="38"/>
        <v/>
      </c>
      <c r="C33" s="649">
        <f t="shared" si="7"/>
        <v>28</v>
      </c>
      <c r="D33" s="650"/>
      <c r="E33" s="651"/>
      <c r="F33" s="652"/>
      <c r="G33" s="650"/>
      <c r="H33" s="653">
        <f t="shared" si="0"/>
        <v>0</v>
      </c>
      <c r="I33" s="654">
        <f>IF($Q$1&gt;0,TGsh!E31*$M$4%+TGsh!F31*(1-$M$4%),0)</f>
        <v>0</v>
      </c>
      <c r="J33" s="655">
        <f t="shared" si="9"/>
        <v>0</v>
      </c>
      <c r="K33" s="693" t="str">
        <f>$K$12</f>
        <v xml:space="preserve">Mort + Sel Acum </v>
      </c>
      <c r="L33" s="657">
        <f>L30+L26</f>
        <v>0</v>
      </c>
      <c r="M33" s="658">
        <f>IF($M$3&gt;0,L33/$M$3,0)</f>
        <v>0</v>
      </c>
      <c r="N33" s="659">
        <f t="shared" ref="N33" ca="1" si="46">SUM(N31:N32)</f>
        <v>0</v>
      </c>
      <c r="O33" s="660"/>
      <c r="P33" s="666"/>
      <c r="Q33" s="666"/>
      <c r="R33" s="662">
        <f t="shared" si="20"/>
        <v>0</v>
      </c>
      <c r="S33" s="663"/>
      <c r="T33" s="666"/>
      <c r="U33" s="664"/>
      <c r="V33" s="665">
        <f t="shared" si="15"/>
        <v>0</v>
      </c>
      <c r="W33" s="661"/>
      <c r="X33" s="661"/>
      <c r="Y33" s="661"/>
      <c r="Z33" s="667">
        <f t="shared" si="23"/>
        <v>0</v>
      </c>
      <c r="AA33" s="668">
        <f t="shared" si="16"/>
        <v>0</v>
      </c>
      <c r="AB33" s="669">
        <f t="shared" si="17"/>
        <v>0</v>
      </c>
      <c r="AC33" s="670">
        <f t="shared" si="10"/>
        <v>0</v>
      </c>
      <c r="AD33" s="671">
        <f t="shared" si="28"/>
        <v>0</v>
      </c>
      <c r="AE33" s="672">
        <f t="shared" si="11"/>
        <v>0</v>
      </c>
      <c r="AF33" s="673">
        <f t="shared" si="12"/>
        <v>0</v>
      </c>
      <c r="AG33" s="674">
        <f t="shared" si="2"/>
        <v>0</v>
      </c>
      <c r="AH33" s="675">
        <f>IF($M$3&gt;0,TGsh!C31*$M$4%+TGsh!D31*(1-$M$4%),0)</f>
        <v>0</v>
      </c>
      <c r="AI33" s="676">
        <f>IF('Liq-Zoot'!$E$31&gt;0,AK29/1000*J33/'Liq-Zoot'!$E$31,0)</f>
        <v>0</v>
      </c>
      <c r="AJ33" s="677" t="str">
        <f>$AJ$12</f>
        <v>Fact. IP</v>
      </c>
      <c r="AK33" s="678">
        <f>IF(AK31&gt;0,AK32/AK31,0)</f>
        <v>0</v>
      </c>
      <c r="AL33" s="679">
        <f>IF(AL31&gt;0,AL32/AL31,0)</f>
        <v>0</v>
      </c>
      <c r="AM33" s="680" t="str">
        <f>IF(AK33&gt;0,(AK33-AL33)/AL33*100,"")</f>
        <v/>
      </c>
      <c r="AN33" s="505"/>
      <c r="AO33" s="575" t="s">
        <v>9</v>
      </c>
      <c r="AP33" s="576" t="s">
        <v>32</v>
      </c>
      <c r="AQ33" s="576" t="s">
        <v>33</v>
      </c>
      <c r="AR33" s="577" t="s">
        <v>14</v>
      </c>
      <c r="AS33" s="545">
        <f t="shared" si="3"/>
        <v>0</v>
      </c>
      <c r="AT33" s="545">
        <f t="shared" si="4"/>
        <v>0</v>
      </c>
      <c r="AU33" s="545">
        <f t="shared" si="5"/>
        <v>0</v>
      </c>
      <c r="AV33" s="505"/>
      <c r="AW33" s="505"/>
      <c r="AX33" s="505"/>
      <c r="AY33" s="505"/>
      <c r="AZ33" s="505"/>
      <c r="BA33" s="505"/>
      <c r="BB33" s="505"/>
      <c r="BC33" s="505"/>
      <c r="BD33" s="505"/>
      <c r="BE33" s="505"/>
      <c r="BF33" s="505"/>
    </row>
    <row r="34" spans="1:58" ht="15.75" customHeight="1" x14ac:dyDescent="0.25">
      <c r="A34" s="802" t="s">
        <v>19</v>
      </c>
      <c r="B34" s="546" t="str">
        <f t="shared" si="38"/>
        <v/>
      </c>
      <c r="C34" s="547">
        <f t="shared" si="7"/>
        <v>29</v>
      </c>
      <c r="D34" s="548"/>
      <c r="E34" s="549"/>
      <c r="F34" s="550"/>
      <c r="G34" s="548"/>
      <c r="H34" s="551">
        <f t="shared" si="0"/>
        <v>0</v>
      </c>
      <c r="I34" s="552">
        <f>IF($Q$1&gt;0,TGsh!E32*$M$4%+TGsh!F32*(1-$M$4%),0)</f>
        <v>0</v>
      </c>
      <c r="J34" s="553">
        <f t="shared" si="9"/>
        <v>0</v>
      </c>
      <c r="K34" s="554" t="str">
        <f>$K$6</f>
        <v>Item</v>
      </c>
      <c r="L34" s="555" t="str">
        <f>$L$6</f>
        <v>#</v>
      </c>
      <c r="M34" s="555" t="str">
        <f>$M$6</f>
        <v>Real %</v>
      </c>
      <c r="N34" s="556" t="str">
        <f t="shared" ref="N34" si="47">$N$6</f>
        <v>Guia %</v>
      </c>
      <c r="O34" s="682"/>
      <c r="P34" s="561"/>
      <c r="Q34" s="561"/>
      <c r="R34" s="683">
        <f t="shared" si="20"/>
        <v>0</v>
      </c>
      <c r="S34" s="559"/>
      <c r="T34" s="561"/>
      <c r="U34" s="560"/>
      <c r="V34" s="558">
        <f t="shared" si="15"/>
        <v>0</v>
      </c>
      <c r="W34" s="557"/>
      <c r="X34" s="557"/>
      <c r="Y34" s="557"/>
      <c r="Z34" s="558">
        <f t="shared" si="23"/>
        <v>0</v>
      </c>
      <c r="AA34" s="562">
        <f t="shared" si="16"/>
        <v>0</v>
      </c>
      <c r="AB34" s="563">
        <f t="shared" si="17"/>
        <v>0</v>
      </c>
      <c r="AC34" s="564">
        <f t="shared" si="10"/>
        <v>0</v>
      </c>
      <c r="AD34" s="565">
        <f t="shared" si="28"/>
        <v>0</v>
      </c>
      <c r="AE34" s="566">
        <f t="shared" si="11"/>
        <v>0</v>
      </c>
      <c r="AF34" s="567">
        <f t="shared" si="12"/>
        <v>0</v>
      </c>
      <c r="AG34" s="568">
        <f t="shared" si="2"/>
        <v>0</v>
      </c>
      <c r="AH34" s="569">
        <f>IF($M$3&gt;0,TGsh!C32*$M$4%+TGsh!D32*(1-$M$4%),0)</f>
        <v>0</v>
      </c>
      <c r="AI34" s="684" t="str">
        <f>$AI$6</f>
        <v>Gr. Obten.</v>
      </c>
      <c r="AJ34" s="571" t="str">
        <f>$AJ$6</f>
        <v>Cons Sem</v>
      </c>
      <c r="AK34" s="572">
        <f>IF((J40+SUM(F34:F40))&gt;0,SUM(AD34:AD40)*40000/(J40+SUM(F34:F40)),0)</f>
        <v>0</v>
      </c>
      <c r="AL34" s="573">
        <f>SUMIF($AD34:$AD40,"&gt;0",AH34:AH40)</f>
        <v>0</v>
      </c>
      <c r="AM34" s="574" t="str">
        <f>IF(AK34&gt;0,(AK34-AL34)/AL34*100,"")</f>
        <v/>
      </c>
      <c r="AN34" s="505"/>
      <c r="AO34" s="610">
        <v>1</v>
      </c>
      <c r="AP34" s="572">
        <f>AK11</f>
        <v>0</v>
      </c>
      <c r="AQ34" s="572">
        <f t="shared" ref="AQ34:AR34" si="48">AL11</f>
        <v>0</v>
      </c>
      <c r="AR34" s="611" t="str">
        <f t="shared" si="48"/>
        <v/>
      </c>
      <c r="AS34" s="545">
        <f t="shared" si="3"/>
        <v>0</v>
      </c>
      <c r="AT34" s="545">
        <f t="shared" si="4"/>
        <v>0</v>
      </c>
      <c r="AU34" s="545">
        <f t="shared" si="5"/>
        <v>0</v>
      </c>
      <c r="AV34" s="505"/>
      <c r="AW34" s="505"/>
      <c r="AX34" s="505"/>
      <c r="AY34" s="505"/>
      <c r="AZ34" s="505"/>
      <c r="BA34" s="505"/>
      <c r="BB34" s="505"/>
      <c r="BC34" s="505"/>
      <c r="BD34" s="505"/>
      <c r="BE34" s="505"/>
      <c r="BF34" s="505"/>
    </row>
    <row r="35" spans="1:58" ht="16.5" thickBot="1" x14ac:dyDescent="0.3">
      <c r="A35" s="803"/>
      <c r="B35" s="579" t="str">
        <f t="shared" si="38"/>
        <v/>
      </c>
      <c r="C35" s="580">
        <f t="shared" si="7"/>
        <v>30</v>
      </c>
      <c r="D35" s="581"/>
      <c r="E35" s="582"/>
      <c r="F35" s="583"/>
      <c r="G35" s="581"/>
      <c r="H35" s="584">
        <f t="shared" si="0"/>
        <v>0</v>
      </c>
      <c r="I35" s="685">
        <f>IF($Q$1&gt;0,TGsh!E33*$M$4%+TGsh!F33*(1-$M$4%),0)</f>
        <v>0</v>
      </c>
      <c r="J35" s="586">
        <f t="shared" si="9"/>
        <v>0</v>
      </c>
      <c r="K35" s="686" t="str">
        <f>$K$7</f>
        <v xml:space="preserve">Mort Sem </v>
      </c>
      <c r="L35" s="588">
        <f>SUM(D34:D40)</f>
        <v>0</v>
      </c>
      <c r="M35" s="589">
        <f>IF(J33&gt;0,L35/J33,0)</f>
        <v>0</v>
      </c>
      <c r="N35" s="590">
        <f ca="1">SUM(TGsh!G32:G38)</f>
        <v>0</v>
      </c>
      <c r="O35" s="591"/>
      <c r="P35" s="596"/>
      <c r="Q35" s="596"/>
      <c r="R35" s="616">
        <f t="shared" si="20"/>
        <v>0</v>
      </c>
      <c r="S35" s="594"/>
      <c r="T35" s="596"/>
      <c r="U35" s="595"/>
      <c r="V35" s="593">
        <f t="shared" si="15"/>
        <v>0</v>
      </c>
      <c r="W35" s="592"/>
      <c r="X35" s="592"/>
      <c r="Y35" s="592"/>
      <c r="Z35" s="593">
        <f t="shared" si="23"/>
        <v>0</v>
      </c>
      <c r="AA35" s="597">
        <f t="shared" si="16"/>
        <v>0</v>
      </c>
      <c r="AB35" s="598">
        <f t="shared" si="17"/>
        <v>0</v>
      </c>
      <c r="AC35" s="599">
        <f t="shared" si="10"/>
        <v>0</v>
      </c>
      <c r="AD35" s="600">
        <f t="shared" si="28"/>
        <v>0</v>
      </c>
      <c r="AE35" s="601">
        <f t="shared" si="11"/>
        <v>0</v>
      </c>
      <c r="AF35" s="602">
        <f t="shared" si="12"/>
        <v>0</v>
      </c>
      <c r="AG35" s="603">
        <f t="shared" si="2"/>
        <v>0</v>
      </c>
      <c r="AH35" s="604">
        <f>IF($M$3&gt;0,TGsh!C33*$M$4%+TGsh!D33*(1-$M$4%),0)</f>
        <v>0</v>
      </c>
      <c r="AI35" s="605">
        <f>IF(SUM(AD34:AD40)&gt;0,AVERAGEIF(AD34:AD40,"&gt;0",AG34:AG40),0)</f>
        <v>0</v>
      </c>
      <c r="AJ35" s="606" t="str">
        <f>$AJ$7</f>
        <v>Cons Acum</v>
      </c>
      <c r="AK35" s="607">
        <f>IF((J40+SUM(F$6:F40))&gt;0,SUM(AD$6:AD40)*40000/(J40+SUM(F$6:F40)),0)</f>
        <v>0</v>
      </c>
      <c r="AL35" s="608">
        <f>AL28+AL34</f>
        <v>0</v>
      </c>
      <c r="AM35" s="609" t="str">
        <f>IF(AK34&gt;0,(AK35-AL35)/AL35*100,"")</f>
        <v/>
      </c>
      <c r="AN35" s="505"/>
      <c r="AO35" s="622">
        <f>AO34+1</f>
        <v>2</v>
      </c>
      <c r="AP35" s="623">
        <f>AK18</f>
        <v>0</v>
      </c>
      <c r="AQ35" s="623">
        <f t="shared" ref="AQ35:AR35" si="49">AL18</f>
        <v>0</v>
      </c>
      <c r="AR35" s="624" t="str">
        <f t="shared" si="49"/>
        <v/>
      </c>
      <c r="AS35" s="545">
        <f t="shared" si="3"/>
        <v>0</v>
      </c>
      <c r="AT35" s="545">
        <f t="shared" si="4"/>
        <v>0</v>
      </c>
      <c r="AU35" s="545">
        <f t="shared" si="5"/>
        <v>0</v>
      </c>
      <c r="AV35" s="505"/>
      <c r="AW35" s="505"/>
      <c r="AX35" s="505"/>
      <c r="AY35" s="505"/>
      <c r="AZ35" s="505"/>
      <c r="BA35" s="505"/>
      <c r="BB35" s="505"/>
      <c r="BC35" s="505"/>
      <c r="BD35" s="505"/>
      <c r="BE35" s="505"/>
      <c r="BF35" s="505"/>
    </row>
    <row r="36" spans="1:58" ht="16.5" thickBot="1" x14ac:dyDescent="0.3">
      <c r="A36" s="803"/>
      <c r="B36" s="579" t="str">
        <f t="shared" si="38"/>
        <v/>
      </c>
      <c r="C36" s="580">
        <f t="shared" si="7"/>
        <v>31</v>
      </c>
      <c r="D36" s="581"/>
      <c r="E36" s="582"/>
      <c r="F36" s="583"/>
      <c r="G36" s="581"/>
      <c r="H36" s="584">
        <f t="shared" si="0"/>
        <v>0</v>
      </c>
      <c r="I36" s="685">
        <f>IF($Q$1&gt;0,TGsh!E34*$M$4%+TGsh!F34*(1-$M$4%),0)</f>
        <v>0</v>
      </c>
      <c r="J36" s="586">
        <f t="shared" si="9"/>
        <v>0</v>
      </c>
      <c r="K36" s="690" t="str">
        <f>$K$8</f>
        <v xml:space="preserve">Sel Sem </v>
      </c>
      <c r="L36" s="613">
        <f>SUM(E34:E40)</f>
        <v>0</v>
      </c>
      <c r="M36" s="614">
        <f>IF(J33&gt;0,L36/J33,0)</f>
        <v>0</v>
      </c>
      <c r="N36" s="615">
        <v>0</v>
      </c>
      <c r="O36" s="591"/>
      <c r="P36" s="596"/>
      <c r="Q36" s="596"/>
      <c r="R36" s="616">
        <f t="shared" si="20"/>
        <v>0</v>
      </c>
      <c r="S36" s="594"/>
      <c r="T36" s="596"/>
      <c r="U36" s="595"/>
      <c r="V36" s="593">
        <f t="shared" si="15"/>
        <v>0</v>
      </c>
      <c r="W36" s="592"/>
      <c r="X36" s="592"/>
      <c r="Y36" s="592"/>
      <c r="Z36" s="593">
        <f t="shared" si="23"/>
        <v>0</v>
      </c>
      <c r="AA36" s="597">
        <f t="shared" si="16"/>
        <v>0</v>
      </c>
      <c r="AB36" s="598">
        <f t="shared" si="17"/>
        <v>0</v>
      </c>
      <c r="AC36" s="599">
        <f t="shared" si="10"/>
        <v>0</v>
      </c>
      <c r="AD36" s="600">
        <f t="shared" si="28"/>
        <v>0</v>
      </c>
      <c r="AE36" s="601">
        <f t="shared" si="11"/>
        <v>0</v>
      </c>
      <c r="AF36" s="602">
        <f t="shared" si="12"/>
        <v>0</v>
      </c>
      <c r="AG36" s="603">
        <f t="shared" si="2"/>
        <v>0</v>
      </c>
      <c r="AH36" s="604">
        <f>IF($M$3&gt;0,TGsh!C34*$M$4%+TGsh!D34*(1-$M$4%),0)</f>
        <v>0</v>
      </c>
      <c r="AI36" s="617" t="str">
        <f>$AI$8</f>
        <v>Gr. Guía</v>
      </c>
      <c r="AJ36" s="618" t="str">
        <f>$AJ$8</f>
        <v>Peso Sem</v>
      </c>
      <c r="AK36" s="695">
        <f>IF(SUM(F34:F40)&gt;0,SUMPRODUCT(F34:F40,H34:H40)/SUM(F34:F40),0)</f>
        <v>0</v>
      </c>
      <c r="AL36" s="620">
        <f>IF($Q$1&gt;0,I40,0)</f>
        <v>0</v>
      </c>
      <c r="AM36" s="621" t="str">
        <f>IF(AK36&gt;0,(AK36-AL36)/AL36*100,"")</f>
        <v/>
      </c>
      <c r="AN36" s="505"/>
      <c r="AO36" s="622">
        <f t="shared" ref="AO36:AO41" si="50">AO35+1</f>
        <v>3</v>
      </c>
      <c r="AP36" s="623">
        <f>AK25</f>
        <v>0</v>
      </c>
      <c r="AQ36" s="623">
        <f t="shared" ref="AQ36:AR36" si="51">AL25</f>
        <v>0</v>
      </c>
      <c r="AR36" s="624" t="str">
        <f t="shared" si="51"/>
        <v/>
      </c>
      <c r="AS36" s="545">
        <f t="shared" si="3"/>
        <v>0</v>
      </c>
      <c r="AT36" s="545">
        <f t="shared" si="4"/>
        <v>0</v>
      </c>
      <c r="AU36" s="545">
        <f t="shared" si="5"/>
        <v>0</v>
      </c>
      <c r="AV36" s="505"/>
      <c r="AW36" s="505"/>
      <c r="AX36" s="505"/>
      <c r="AY36" s="505"/>
      <c r="AZ36" s="575" t="s">
        <v>9</v>
      </c>
      <c r="BA36" s="576" t="s">
        <v>47</v>
      </c>
      <c r="BB36" s="576" t="s">
        <v>48</v>
      </c>
      <c r="BC36" s="577" t="s">
        <v>14</v>
      </c>
      <c r="BD36" s="505"/>
      <c r="BE36" s="505"/>
      <c r="BF36" s="505"/>
    </row>
    <row r="37" spans="1:58" ht="15.75" x14ac:dyDescent="0.25">
      <c r="A37" s="803"/>
      <c r="B37" s="579" t="str">
        <f t="shared" si="38"/>
        <v/>
      </c>
      <c r="C37" s="580">
        <f t="shared" si="7"/>
        <v>32</v>
      </c>
      <c r="D37" s="581"/>
      <c r="E37" s="582"/>
      <c r="F37" s="583"/>
      <c r="G37" s="581"/>
      <c r="H37" s="584">
        <f t="shared" si="0"/>
        <v>0</v>
      </c>
      <c r="I37" s="685">
        <f>IF($Q$1&gt;0,TGsh!E35*$M$4%+TGsh!F35*(1-$M$4%),0)</f>
        <v>0</v>
      </c>
      <c r="J37" s="586">
        <f t="shared" si="9"/>
        <v>0</v>
      </c>
      <c r="K37" s="691" t="str">
        <f>$K$9</f>
        <v xml:space="preserve">Mort + Sel Sem </v>
      </c>
      <c r="L37" s="626">
        <f>SUM(L35:L36)</f>
        <v>0</v>
      </c>
      <c r="M37" s="627">
        <f>IF(J33&gt;0,L37/J33,0)</f>
        <v>0</v>
      </c>
      <c r="N37" s="628">
        <f t="shared" ref="N37" ca="1" si="52">SUM(N35:N36)</f>
        <v>0</v>
      </c>
      <c r="O37" s="591"/>
      <c r="P37" s="596"/>
      <c r="Q37" s="596"/>
      <c r="R37" s="616">
        <f t="shared" si="20"/>
        <v>0</v>
      </c>
      <c r="S37" s="594"/>
      <c r="T37" s="596"/>
      <c r="U37" s="595"/>
      <c r="V37" s="593">
        <f t="shared" si="15"/>
        <v>0</v>
      </c>
      <c r="W37" s="592"/>
      <c r="X37" s="592"/>
      <c r="Y37" s="592"/>
      <c r="Z37" s="593">
        <f t="shared" si="23"/>
        <v>0</v>
      </c>
      <c r="AA37" s="597">
        <f t="shared" si="16"/>
        <v>0</v>
      </c>
      <c r="AB37" s="598">
        <f t="shared" si="17"/>
        <v>0</v>
      </c>
      <c r="AC37" s="599">
        <f t="shared" si="10"/>
        <v>0</v>
      </c>
      <c r="AD37" s="600">
        <f t="shared" si="28"/>
        <v>0</v>
      </c>
      <c r="AE37" s="601">
        <f t="shared" si="11"/>
        <v>0</v>
      </c>
      <c r="AF37" s="602">
        <f t="shared" si="12"/>
        <v>0</v>
      </c>
      <c r="AG37" s="603">
        <f t="shared" si="2"/>
        <v>0</v>
      </c>
      <c r="AH37" s="604">
        <f>IF($M$3&gt;0,TGsh!C35*$M$4%+TGsh!D35*(1-$M$4%),0)</f>
        <v>0</v>
      </c>
      <c r="AI37" s="605">
        <f>IF(SUM(AD34:AD40)&gt;0,AVERAGEIF(AD34:AD40,"&gt;0",AH34:AH40),0)</f>
        <v>0</v>
      </c>
      <c r="AJ37" s="629" t="str">
        <f t="shared" ref="AJ37" si="53">AJ30</f>
        <v>Gan Dia</v>
      </c>
      <c r="AK37" s="630">
        <f>IF(AND(AK29&gt;0,AK36&gt;0),(AK36-AK29)/(COUNTIF(AD34:AD40,"&gt;0")),0)</f>
        <v>0</v>
      </c>
      <c r="AL37" s="631">
        <f>IF(AND(AL29&gt;0,AL36&gt;0,COUNTIF(AD34:AD40,"&gt;0")),(AL36-AL29)/COUNTIF(AD34:AD40,"&gt;0"),0)</f>
        <v>0</v>
      </c>
      <c r="AM37" s="632" t="str">
        <f>IF(AK37&gt;0,(AK37-AL37)/AL37*100,"")</f>
        <v/>
      </c>
      <c r="AN37" s="694"/>
      <c r="AO37" s="622">
        <f t="shared" si="50"/>
        <v>4</v>
      </c>
      <c r="AP37" s="623">
        <f>AK32</f>
        <v>0</v>
      </c>
      <c r="AQ37" s="623">
        <f t="shared" ref="AQ37:AR37" si="54">AL32</f>
        <v>0</v>
      </c>
      <c r="AR37" s="624" t="str">
        <f t="shared" si="54"/>
        <v/>
      </c>
      <c r="AS37" s="545">
        <f t="shared" si="3"/>
        <v>0</v>
      </c>
      <c r="AT37" s="545">
        <f t="shared" si="4"/>
        <v>0</v>
      </c>
      <c r="AU37" s="545">
        <f t="shared" si="5"/>
        <v>0</v>
      </c>
      <c r="AV37" s="505"/>
      <c r="AW37" s="505"/>
      <c r="AX37" s="505"/>
      <c r="AY37" s="505"/>
      <c r="AZ37" s="610">
        <v>1</v>
      </c>
      <c r="BA37" s="572">
        <f>AI12</f>
        <v>0</v>
      </c>
      <c r="BB37" s="572">
        <f>IF('Liq-Zoot'!$E$31&gt;0,AL8/1000*J12/'Liq-Zoot'!$E$31,0)</f>
        <v>0</v>
      </c>
      <c r="BC37" s="611" t="str">
        <f>IF(BA37&gt;0,(BA37-BB37)/BB37*100,"")</f>
        <v/>
      </c>
      <c r="BD37" s="505"/>
      <c r="BE37" s="505"/>
      <c r="BF37" s="505"/>
    </row>
    <row r="38" spans="1:58" ht="15.75" customHeight="1" x14ac:dyDescent="0.25">
      <c r="A38" s="803"/>
      <c r="B38" s="579" t="str">
        <f t="shared" si="38"/>
        <v/>
      </c>
      <c r="C38" s="580">
        <f t="shared" si="7"/>
        <v>33</v>
      </c>
      <c r="D38" s="581"/>
      <c r="E38" s="582"/>
      <c r="F38" s="583"/>
      <c r="G38" s="581"/>
      <c r="H38" s="584">
        <f t="shared" si="0"/>
        <v>0</v>
      </c>
      <c r="I38" s="685">
        <f>IF($Q$1&gt;0,TGsh!E36*$M$4%+TGsh!F36*(1-$M$4%),0)</f>
        <v>0</v>
      </c>
      <c r="J38" s="586">
        <f t="shared" si="9"/>
        <v>0</v>
      </c>
      <c r="K38" s="692" t="str">
        <f>$K$10</f>
        <v xml:space="preserve">Mort Acum </v>
      </c>
      <c r="L38" s="634">
        <f>L35+L31</f>
        <v>0</v>
      </c>
      <c r="M38" s="635">
        <f>IF($M$3&gt;0,L38/$M$3,0)</f>
        <v>0</v>
      </c>
      <c r="N38" s="636">
        <f ca="1">TGsh!H38</f>
        <v>0</v>
      </c>
      <c r="O38" s="591"/>
      <c r="P38" s="596"/>
      <c r="Q38" s="596"/>
      <c r="R38" s="616">
        <f t="shared" si="20"/>
        <v>0</v>
      </c>
      <c r="S38" s="594"/>
      <c r="T38" s="596"/>
      <c r="U38" s="595"/>
      <c r="V38" s="593">
        <f t="shared" si="15"/>
        <v>0</v>
      </c>
      <c r="W38" s="592"/>
      <c r="X38" s="592"/>
      <c r="Y38" s="592"/>
      <c r="Z38" s="593">
        <f t="shared" si="23"/>
        <v>0</v>
      </c>
      <c r="AA38" s="597">
        <f t="shared" si="16"/>
        <v>0</v>
      </c>
      <c r="AB38" s="598">
        <f t="shared" ref="AB38:AB61" si="55">Q38+U38+Y38</f>
        <v>0</v>
      </c>
      <c r="AC38" s="599">
        <f t="shared" si="10"/>
        <v>0</v>
      </c>
      <c r="AD38" s="600">
        <f t="shared" ref="AD38:AD61" si="56">IF(P$5="Bulto X 40 K",P38,P38/40)+IF(T$5="Bulto X 40 K",T38,T38/40)+IF(X$5="Bulto X 40 K",X38,X38/40)</f>
        <v>0</v>
      </c>
      <c r="AE38" s="601">
        <f t="shared" si="11"/>
        <v>0</v>
      </c>
      <c r="AF38" s="602">
        <f t="shared" ref="AF38:AF61" si="57">MROUND(AH38*SUM(D38:F38,J38)/40000,0.1)</f>
        <v>0</v>
      </c>
      <c r="AG38" s="603">
        <f t="shared" ref="AG38:AG61" si="58">IF((J38+F38)&gt;0,AD38*40000/(J38+F38),0)</f>
        <v>0</v>
      </c>
      <c r="AH38" s="604">
        <f>IF($M$3&gt;0,TGsh!C36*$M$4%+TGsh!D36*(1-$M$4%),0)</f>
        <v>0</v>
      </c>
      <c r="AI38" s="770" t="s">
        <v>188</v>
      </c>
      <c r="AJ38" s="637" t="str">
        <f>$AJ$10</f>
        <v>Conversión</v>
      </c>
      <c r="AK38" s="638">
        <f>IF(AK36&gt;0,AK35/AK36,0)</f>
        <v>0</v>
      </c>
      <c r="AL38" s="639">
        <f>IF(AL36&gt;0,AL35/AL36,0)</f>
        <v>0</v>
      </c>
      <c r="AM38" s="640" t="str">
        <f>IF(AK36&gt;0,-(AK38-AL38)/AL38*100,"")</f>
        <v/>
      </c>
      <c r="AN38" s="505"/>
      <c r="AO38" s="622">
        <f t="shared" si="50"/>
        <v>5</v>
      </c>
      <c r="AP38" s="623">
        <f>AK39</f>
        <v>0</v>
      </c>
      <c r="AQ38" s="623">
        <f t="shared" ref="AQ38:AR38" si="59">AL39</f>
        <v>0</v>
      </c>
      <c r="AR38" s="624" t="str">
        <f t="shared" si="59"/>
        <v/>
      </c>
      <c r="AS38" s="545">
        <f t="shared" ref="AS38:AS61" si="60">IF(($P38+$T38+$X38)&gt;0,P38/($P38+$T38+$X38),0)</f>
        <v>0</v>
      </c>
      <c r="AT38" s="545">
        <f t="shared" ref="AT38:AT61" si="61">IF(($P38+$T38+$X38)&gt;0,T38/($P38+$T38+$X38),0)</f>
        <v>0</v>
      </c>
      <c r="AU38" s="545">
        <f t="shared" ref="AU38:AU61" si="62">IF(($P38+$T38+$X38)&gt;0,X38/($P38+$T38+$X38),0)</f>
        <v>0</v>
      </c>
      <c r="AV38" s="505"/>
      <c r="AW38" s="505"/>
      <c r="AX38" s="505"/>
      <c r="AY38" s="505"/>
      <c r="AZ38" s="622">
        <f>AZ37+1</f>
        <v>2</v>
      </c>
      <c r="BA38" s="623">
        <f>AI19</f>
        <v>0</v>
      </c>
      <c r="BB38" s="623">
        <f>IF('Liq-Zoot'!$E$31&gt;0,AL15/1000*J19/'Liq-Zoot'!$E$31,0)</f>
        <v>0</v>
      </c>
      <c r="BC38" s="624" t="str">
        <f t="shared" ref="BC38:BC44" si="63">IF(BA38&gt;0,(BA38-BB38)/BB38*100,"")</f>
        <v/>
      </c>
      <c r="BD38" s="505"/>
      <c r="BE38" s="505"/>
      <c r="BF38" s="505"/>
    </row>
    <row r="39" spans="1:58" ht="15.75" x14ac:dyDescent="0.25">
      <c r="A39" s="803"/>
      <c r="B39" s="579" t="str">
        <f t="shared" si="38"/>
        <v/>
      </c>
      <c r="C39" s="580">
        <f t="shared" ref="C39:C61" si="64">C38+1</f>
        <v>34</v>
      </c>
      <c r="D39" s="581"/>
      <c r="E39" s="582"/>
      <c r="F39" s="583"/>
      <c r="G39" s="642"/>
      <c r="H39" s="643">
        <f t="shared" si="0"/>
        <v>0</v>
      </c>
      <c r="I39" s="585">
        <f>IF($Q$1&gt;0,TGsh!E37*$M$4%+TGsh!F37*(1-$M$4%),0)</f>
        <v>0</v>
      </c>
      <c r="J39" s="644">
        <f t="shared" ref="J39:J61" si="65">J38-SUM(D39:E39)-F39</f>
        <v>0</v>
      </c>
      <c r="K39" s="690" t="str">
        <f>$K$11</f>
        <v xml:space="preserve">Sel Acum </v>
      </c>
      <c r="L39" s="613">
        <f>L36+L32</f>
        <v>0</v>
      </c>
      <c r="M39" s="614">
        <f>IF($M$3&gt;0,L39/$M$3,0)</f>
        <v>0</v>
      </c>
      <c r="N39" s="645">
        <f t="shared" ref="N39" si="66">N36+N32</f>
        <v>0</v>
      </c>
      <c r="O39" s="591"/>
      <c r="P39" s="596"/>
      <c r="Q39" s="596"/>
      <c r="R39" s="616">
        <f t="shared" ref="R39:R61" si="67">R38+O39-IF(P$5="Bulto X 40 K",P39,P39/40)-Q39</f>
        <v>0</v>
      </c>
      <c r="S39" s="594"/>
      <c r="T39" s="596"/>
      <c r="U39" s="595"/>
      <c r="V39" s="593">
        <f t="shared" ref="V39:V61" si="68">V38+S39-IF(T$5="Bulto X 40 K",T39,T39/40)-U39</f>
        <v>0</v>
      </c>
      <c r="W39" s="592"/>
      <c r="X39" s="592"/>
      <c r="Y39" s="592"/>
      <c r="Z39" s="593">
        <f t="shared" si="23"/>
        <v>0</v>
      </c>
      <c r="AA39" s="597">
        <f t="shared" si="16"/>
        <v>0</v>
      </c>
      <c r="AB39" s="598">
        <f t="shared" si="55"/>
        <v>0</v>
      </c>
      <c r="AC39" s="599">
        <f t="shared" ref="AC39:AC61" si="69">AC38+AA39-AD39-AB39</f>
        <v>0</v>
      </c>
      <c r="AD39" s="600">
        <f t="shared" si="56"/>
        <v>0</v>
      </c>
      <c r="AE39" s="601">
        <f t="shared" ref="AE39:AE61" si="70">AE38+AD39</f>
        <v>0</v>
      </c>
      <c r="AF39" s="602">
        <f t="shared" si="57"/>
        <v>0</v>
      </c>
      <c r="AG39" s="603">
        <f t="shared" si="58"/>
        <v>0</v>
      </c>
      <c r="AH39" s="604">
        <f>IF($M$3&gt;0,TGsh!C37*$M$4%+TGsh!D37*(1-$M$4%),0)</f>
        <v>0</v>
      </c>
      <c r="AI39" s="771"/>
      <c r="AJ39" s="637" t="str">
        <f>$AJ$11</f>
        <v>Ef. Alim</v>
      </c>
      <c r="AK39" s="646">
        <f>IF(AK38&gt;0,AK36/AK38/10,0)</f>
        <v>0</v>
      </c>
      <c r="AL39" s="647">
        <f>IF(AL38&gt;0,AL36/AL38/10,0)</f>
        <v>0</v>
      </c>
      <c r="AM39" s="640" t="str">
        <f>IF(AK39&gt;0,(AK39-AL39)/AL39*100,"")</f>
        <v/>
      </c>
      <c r="AN39" s="505"/>
      <c r="AO39" s="622">
        <f t="shared" si="50"/>
        <v>6</v>
      </c>
      <c r="AP39" s="623">
        <f>AK46</f>
        <v>0</v>
      </c>
      <c r="AQ39" s="623">
        <f t="shared" ref="AQ39:AR39" si="71">AL46</f>
        <v>0</v>
      </c>
      <c r="AR39" s="624" t="str">
        <f t="shared" si="71"/>
        <v/>
      </c>
      <c r="AS39" s="545">
        <f t="shared" si="60"/>
        <v>0</v>
      </c>
      <c r="AT39" s="545">
        <f t="shared" si="61"/>
        <v>0</v>
      </c>
      <c r="AU39" s="545">
        <f t="shared" si="62"/>
        <v>0</v>
      </c>
      <c r="AV39" s="505"/>
      <c r="AW39" s="505"/>
      <c r="AX39" s="505"/>
      <c r="AY39" s="505"/>
      <c r="AZ39" s="622">
        <f t="shared" ref="AZ39:AZ44" si="72">AZ38+1</f>
        <v>3</v>
      </c>
      <c r="BA39" s="623">
        <f>AI26</f>
        <v>0</v>
      </c>
      <c r="BB39" s="623">
        <f>IF('Liq-Zoot'!$E$31&gt;0,AL22/1000*J26/'Liq-Zoot'!$E$31,0)</f>
        <v>0</v>
      </c>
      <c r="BC39" s="624" t="str">
        <f t="shared" si="63"/>
        <v/>
      </c>
      <c r="BD39" s="505"/>
      <c r="BE39" s="505"/>
      <c r="BF39" s="505"/>
    </row>
    <row r="40" spans="1:58" ht="16.5" thickBot="1" x14ac:dyDescent="0.3">
      <c r="A40" s="804"/>
      <c r="B40" s="648" t="str">
        <f t="shared" si="38"/>
        <v/>
      </c>
      <c r="C40" s="649">
        <f t="shared" si="64"/>
        <v>35</v>
      </c>
      <c r="D40" s="650"/>
      <c r="E40" s="651"/>
      <c r="F40" s="652"/>
      <c r="G40" s="650"/>
      <c r="H40" s="653">
        <f t="shared" si="0"/>
        <v>0</v>
      </c>
      <c r="I40" s="654">
        <f>IF($Q$1&gt;0,TGsh!E38*$M$4%+TGsh!F38*(1-$M$4%),0)</f>
        <v>0</v>
      </c>
      <c r="J40" s="655">
        <f t="shared" si="65"/>
        <v>0</v>
      </c>
      <c r="K40" s="693" t="str">
        <f>$K$12</f>
        <v xml:space="preserve">Mort + Sel Acum </v>
      </c>
      <c r="L40" s="657">
        <f>L37+L33</f>
        <v>0</v>
      </c>
      <c r="M40" s="658">
        <f>IF($M$3&gt;0,L40/$M$3,0)</f>
        <v>0</v>
      </c>
      <c r="N40" s="659">
        <f t="shared" ref="N40" ca="1" si="73">SUM(N38:N39)</f>
        <v>0</v>
      </c>
      <c r="O40" s="660"/>
      <c r="P40" s="666"/>
      <c r="Q40" s="666"/>
      <c r="R40" s="662">
        <f t="shared" si="67"/>
        <v>0</v>
      </c>
      <c r="S40" s="663"/>
      <c r="T40" s="666"/>
      <c r="U40" s="664"/>
      <c r="V40" s="665">
        <f t="shared" si="68"/>
        <v>0</v>
      </c>
      <c r="W40" s="661"/>
      <c r="X40" s="661"/>
      <c r="Y40" s="661"/>
      <c r="Z40" s="667">
        <f t="shared" si="23"/>
        <v>0</v>
      </c>
      <c r="AA40" s="668">
        <f t="shared" si="16"/>
        <v>0</v>
      </c>
      <c r="AB40" s="669">
        <f t="shared" si="55"/>
        <v>0</v>
      </c>
      <c r="AC40" s="670">
        <f t="shared" si="69"/>
        <v>0</v>
      </c>
      <c r="AD40" s="671">
        <f t="shared" si="56"/>
        <v>0</v>
      </c>
      <c r="AE40" s="672">
        <f t="shared" si="70"/>
        <v>0</v>
      </c>
      <c r="AF40" s="673">
        <f t="shared" si="57"/>
        <v>0</v>
      </c>
      <c r="AG40" s="674">
        <f t="shared" si="58"/>
        <v>0</v>
      </c>
      <c r="AH40" s="675">
        <f>IF($M$3&gt;0,TGsh!C38*$M$4%+TGsh!D38*(1-$M$4%),0)</f>
        <v>0</v>
      </c>
      <c r="AI40" s="676">
        <f>IF('Liq-Zoot'!$E$31&gt;0,AK36/1000*J40/'Liq-Zoot'!$E$31,0)</f>
        <v>0</v>
      </c>
      <c r="AJ40" s="677" t="str">
        <f>$AJ$12</f>
        <v>Fact. IP</v>
      </c>
      <c r="AK40" s="678">
        <f>IF(AK38&gt;0,AK39/AK38,0)</f>
        <v>0</v>
      </c>
      <c r="AL40" s="679">
        <f>IF(AL38&gt;0,AL39/AL38,0)</f>
        <v>0</v>
      </c>
      <c r="AM40" s="680" t="str">
        <f>IF(AK40&gt;0,(AK40-AL40)/AL40*100,"")</f>
        <v/>
      </c>
      <c r="AN40" s="505"/>
      <c r="AO40" s="622">
        <f t="shared" si="50"/>
        <v>7</v>
      </c>
      <c r="AP40" s="623">
        <f>AK53</f>
        <v>0</v>
      </c>
      <c r="AQ40" s="623">
        <f t="shared" ref="AQ40:AR40" si="74">AL53</f>
        <v>0</v>
      </c>
      <c r="AR40" s="624" t="str">
        <f t="shared" si="74"/>
        <v/>
      </c>
      <c r="AS40" s="545">
        <f t="shared" si="60"/>
        <v>0</v>
      </c>
      <c r="AT40" s="545">
        <f t="shared" si="61"/>
        <v>0</v>
      </c>
      <c r="AU40" s="545">
        <f t="shared" si="62"/>
        <v>0</v>
      </c>
      <c r="AV40" s="505"/>
      <c r="AW40" s="505"/>
      <c r="AX40" s="505"/>
      <c r="AY40" s="505"/>
      <c r="AZ40" s="622">
        <f t="shared" si="72"/>
        <v>4</v>
      </c>
      <c r="BA40" s="623">
        <f>AI33</f>
        <v>0</v>
      </c>
      <c r="BB40" s="623">
        <f>IF('Liq-Zoot'!$E$31&gt;0,AL29/1000*J33/'Liq-Zoot'!$E$31,0)</f>
        <v>0</v>
      </c>
      <c r="BC40" s="624" t="str">
        <f>IF(BA40&gt;0,(BA40-BB40)/BB40*100,"")</f>
        <v/>
      </c>
      <c r="BD40" s="505"/>
      <c r="BE40" s="505"/>
      <c r="BF40" s="505"/>
    </row>
    <row r="41" spans="1:58" ht="16.5" customHeight="1" thickBot="1" x14ac:dyDescent="0.3">
      <c r="A41" s="802" t="s">
        <v>23</v>
      </c>
      <c r="B41" s="546" t="str">
        <f t="shared" si="38"/>
        <v/>
      </c>
      <c r="C41" s="547">
        <f t="shared" si="64"/>
        <v>36</v>
      </c>
      <c r="D41" s="548"/>
      <c r="E41" s="549"/>
      <c r="F41" s="550"/>
      <c r="G41" s="548"/>
      <c r="H41" s="551">
        <f t="shared" si="0"/>
        <v>0</v>
      </c>
      <c r="I41" s="552">
        <f>IF($Q$1&gt;0,TGsh!E39*$M$4%+TGsh!F39*(1-$M$4%),0)</f>
        <v>0</v>
      </c>
      <c r="J41" s="553">
        <f t="shared" si="65"/>
        <v>0</v>
      </c>
      <c r="K41" s="554" t="str">
        <f>$K$6</f>
        <v>Item</v>
      </c>
      <c r="L41" s="555" t="str">
        <f>$L$6</f>
        <v>#</v>
      </c>
      <c r="M41" s="555" t="str">
        <f>$M$6</f>
        <v>Real %</v>
      </c>
      <c r="N41" s="556" t="str">
        <f t="shared" ref="N41" si="75">$N$6</f>
        <v>Guia %</v>
      </c>
      <c r="O41" s="682"/>
      <c r="P41" s="561"/>
      <c r="Q41" s="561"/>
      <c r="R41" s="683">
        <f t="shared" si="67"/>
        <v>0</v>
      </c>
      <c r="S41" s="559"/>
      <c r="T41" s="561"/>
      <c r="U41" s="560"/>
      <c r="V41" s="558">
        <f t="shared" si="68"/>
        <v>0</v>
      </c>
      <c r="W41" s="557"/>
      <c r="X41" s="557"/>
      <c r="Y41" s="557"/>
      <c r="Z41" s="558">
        <f t="shared" si="23"/>
        <v>0</v>
      </c>
      <c r="AA41" s="562">
        <f t="shared" si="16"/>
        <v>0</v>
      </c>
      <c r="AB41" s="563">
        <f t="shared" si="55"/>
        <v>0</v>
      </c>
      <c r="AC41" s="564">
        <f t="shared" si="69"/>
        <v>0</v>
      </c>
      <c r="AD41" s="565">
        <f t="shared" si="56"/>
        <v>0</v>
      </c>
      <c r="AE41" s="566">
        <f t="shared" si="70"/>
        <v>0</v>
      </c>
      <c r="AF41" s="567">
        <f t="shared" si="57"/>
        <v>0</v>
      </c>
      <c r="AG41" s="568">
        <f t="shared" si="58"/>
        <v>0</v>
      </c>
      <c r="AH41" s="569">
        <f>IF($M$3&gt;0,TGsh!C39*$M$4%+TGsh!D39*(1-$M$4%),0)</f>
        <v>0</v>
      </c>
      <c r="AI41" s="684" t="str">
        <f>$AI$6</f>
        <v>Gr. Obten.</v>
      </c>
      <c r="AJ41" s="571" t="str">
        <f>$AJ$6</f>
        <v>Cons Sem</v>
      </c>
      <c r="AK41" s="572">
        <f>IF((J47+SUM(F41:F47))&gt;0,SUM(AD41:AD47)*40000/(J47+SUM(F41:F47)),0)</f>
        <v>0</v>
      </c>
      <c r="AL41" s="573">
        <f>SUMIF($AD41:$AD47,"&gt;0",AH41:AH47)</f>
        <v>0</v>
      </c>
      <c r="AM41" s="574" t="str">
        <f>IF(AK41&gt;0,(AK41-AL41)/AL41*100,"")</f>
        <v/>
      </c>
      <c r="AN41" s="505"/>
      <c r="AO41" s="687">
        <f t="shared" si="50"/>
        <v>8</v>
      </c>
      <c r="AP41" s="688">
        <f>AK60</f>
        <v>0</v>
      </c>
      <c r="AQ41" s="688">
        <f t="shared" ref="AQ41:AR41" si="76">AL60</f>
        <v>0</v>
      </c>
      <c r="AR41" s="689" t="str">
        <f t="shared" si="76"/>
        <v/>
      </c>
      <c r="AS41" s="545">
        <f t="shared" si="60"/>
        <v>0</v>
      </c>
      <c r="AT41" s="545">
        <f t="shared" si="61"/>
        <v>0</v>
      </c>
      <c r="AU41" s="545">
        <f t="shared" si="62"/>
        <v>0</v>
      </c>
      <c r="AV41" s="505"/>
      <c r="AW41" s="505"/>
      <c r="AX41" s="505"/>
      <c r="AY41" s="505"/>
      <c r="AZ41" s="622">
        <f t="shared" si="72"/>
        <v>5</v>
      </c>
      <c r="BA41" s="623">
        <f>AI40</f>
        <v>0</v>
      </c>
      <c r="BB41" s="623">
        <f>IF('Liq-Zoot'!$E$31&gt;0,AL36/1000*J40/'Liq-Zoot'!$E$31,0)</f>
        <v>0</v>
      </c>
      <c r="BC41" s="624" t="str">
        <f t="shared" si="63"/>
        <v/>
      </c>
      <c r="BD41" s="505"/>
      <c r="BE41" s="505"/>
      <c r="BF41" s="505"/>
    </row>
    <row r="42" spans="1:58" ht="16.5" thickBot="1" x14ac:dyDescent="0.3">
      <c r="A42" s="803"/>
      <c r="B42" s="579" t="str">
        <f t="shared" si="38"/>
        <v/>
      </c>
      <c r="C42" s="580">
        <f t="shared" si="64"/>
        <v>37</v>
      </c>
      <c r="D42" s="581"/>
      <c r="E42" s="582"/>
      <c r="F42" s="583"/>
      <c r="G42" s="581"/>
      <c r="H42" s="584">
        <f t="shared" si="0"/>
        <v>0</v>
      </c>
      <c r="I42" s="685">
        <f>IF($Q$1&gt;0,TGsh!E40*$M$4%+TGsh!F40*(1-$M$4%),0)</f>
        <v>0</v>
      </c>
      <c r="J42" s="586">
        <f t="shared" si="65"/>
        <v>0</v>
      </c>
      <c r="K42" s="686" t="str">
        <f>$K$7</f>
        <v xml:space="preserve">Mort Sem </v>
      </c>
      <c r="L42" s="588">
        <f>SUM(D41:D47)</f>
        <v>0</v>
      </c>
      <c r="M42" s="589">
        <f>IF(J40&gt;0,L42/J40,0)</f>
        <v>0</v>
      </c>
      <c r="N42" s="590">
        <f ca="1">SUM(TGsh!G39:G45)</f>
        <v>0</v>
      </c>
      <c r="O42" s="591"/>
      <c r="P42" s="596"/>
      <c r="Q42" s="596"/>
      <c r="R42" s="616">
        <f t="shared" si="67"/>
        <v>0</v>
      </c>
      <c r="S42" s="594"/>
      <c r="T42" s="596"/>
      <c r="U42" s="595"/>
      <c r="V42" s="593">
        <f t="shared" si="68"/>
        <v>0</v>
      </c>
      <c r="W42" s="592"/>
      <c r="X42" s="592"/>
      <c r="Y42" s="592"/>
      <c r="Z42" s="593">
        <f t="shared" si="23"/>
        <v>0</v>
      </c>
      <c r="AA42" s="597">
        <f t="shared" si="16"/>
        <v>0</v>
      </c>
      <c r="AB42" s="598">
        <f t="shared" si="55"/>
        <v>0</v>
      </c>
      <c r="AC42" s="599">
        <f t="shared" si="69"/>
        <v>0</v>
      </c>
      <c r="AD42" s="600">
        <f t="shared" si="56"/>
        <v>0</v>
      </c>
      <c r="AE42" s="601">
        <f t="shared" si="70"/>
        <v>0</v>
      </c>
      <c r="AF42" s="602">
        <f t="shared" si="57"/>
        <v>0</v>
      </c>
      <c r="AG42" s="603">
        <f t="shared" si="58"/>
        <v>0</v>
      </c>
      <c r="AH42" s="604">
        <f>IF($M$3&gt;0,TGsh!C40*$M$4%+TGsh!D40*(1-$M$4%),0)</f>
        <v>0</v>
      </c>
      <c r="AI42" s="605">
        <f>IF(SUM(AD41:AD47)&gt;0,AVERAGEIF(AD41:AD47,"&gt;0",AG41:AG47),0)</f>
        <v>0</v>
      </c>
      <c r="AJ42" s="606" t="str">
        <f>$AJ$7</f>
        <v>Cons Acum</v>
      </c>
      <c r="AK42" s="607">
        <f>IF((J47+SUM(F$6:F47))&gt;0,SUM(AD$6:AD47)*40000/(J47+SUM(F$6:F47)),0)</f>
        <v>0</v>
      </c>
      <c r="AL42" s="608">
        <f>AL35+AL41</f>
        <v>0</v>
      </c>
      <c r="AM42" s="609" t="str">
        <f>IF(AK41&gt;0,(AK42-AL42)/AL42*100,"")</f>
        <v/>
      </c>
      <c r="AN42" s="505"/>
      <c r="AO42" s="575" t="s">
        <v>9</v>
      </c>
      <c r="AP42" s="576" t="s">
        <v>34</v>
      </c>
      <c r="AQ42" s="576" t="s">
        <v>35</v>
      </c>
      <c r="AR42" s="577" t="s">
        <v>14</v>
      </c>
      <c r="AS42" s="545">
        <f t="shared" si="60"/>
        <v>0</v>
      </c>
      <c r="AT42" s="545">
        <f t="shared" si="61"/>
        <v>0</v>
      </c>
      <c r="AU42" s="545">
        <f t="shared" si="62"/>
        <v>0</v>
      </c>
      <c r="AV42" s="505"/>
      <c r="AW42" s="505"/>
      <c r="AX42" s="505"/>
      <c r="AY42" s="505"/>
      <c r="AZ42" s="622">
        <f t="shared" si="72"/>
        <v>6</v>
      </c>
      <c r="BA42" s="623">
        <f>AI47</f>
        <v>0</v>
      </c>
      <c r="BB42" s="623">
        <f>IF('Liq-Zoot'!$E$31&gt;0,AL43/1000*J47/'Liq-Zoot'!$E$31,0)</f>
        <v>0</v>
      </c>
      <c r="BC42" s="624" t="str">
        <f>IF(BA42&gt;0,(BA42-BB42)/BB42*100,"")</f>
        <v/>
      </c>
      <c r="BD42" s="505"/>
      <c r="BE42" s="505"/>
      <c r="BF42" s="505"/>
    </row>
    <row r="43" spans="1:58" ht="16.5" thickBot="1" x14ac:dyDescent="0.3">
      <c r="A43" s="803"/>
      <c r="B43" s="579" t="str">
        <f t="shared" si="38"/>
        <v/>
      </c>
      <c r="C43" s="580">
        <f t="shared" si="64"/>
        <v>38</v>
      </c>
      <c r="D43" s="581"/>
      <c r="E43" s="582"/>
      <c r="F43" s="583"/>
      <c r="G43" s="581"/>
      <c r="H43" s="584">
        <f t="shared" si="0"/>
        <v>0</v>
      </c>
      <c r="I43" s="685">
        <f>IF($Q$1&gt;0,TGsh!E41*$M$4%+TGsh!F41*(1-$M$4%),0)</f>
        <v>0</v>
      </c>
      <c r="J43" s="586">
        <f t="shared" si="65"/>
        <v>0</v>
      </c>
      <c r="K43" s="690" t="str">
        <f>$K$8</f>
        <v xml:space="preserve">Sel Sem </v>
      </c>
      <c r="L43" s="613">
        <f>SUM(E41:E47)</f>
        <v>0</v>
      </c>
      <c r="M43" s="614">
        <f>IF(J40&gt;0,L43/J40,0)</f>
        <v>0</v>
      </c>
      <c r="N43" s="615">
        <v>0</v>
      </c>
      <c r="O43" s="591"/>
      <c r="P43" s="596"/>
      <c r="Q43" s="596"/>
      <c r="R43" s="616">
        <f t="shared" si="67"/>
        <v>0</v>
      </c>
      <c r="S43" s="594"/>
      <c r="T43" s="596"/>
      <c r="U43" s="595"/>
      <c r="V43" s="593">
        <f t="shared" si="68"/>
        <v>0</v>
      </c>
      <c r="W43" s="592"/>
      <c r="X43" s="592"/>
      <c r="Y43" s="592"/>
      <c r="Z43" s="593">
        <f t="shared" si="23"/>
        <v>0</v>
      </c>
      <c r="AA43" s="597">
        <f t="shared" si="16"/>
        <v>0</v>
      </c>
      <c r="AB43" s="598">
        <f t="shared" si="55"/>
        <v>0</v>
      </c>
      <c r="AC43" s="599">
        <f t="shared" si="69"/>
        <v>0</v>
      </c>
      <c r="AD43" s="600">
        <f t="shared" si="56"/>
        <v>0</v>
      </c>
      <c r="AE43" s="601">
        <f t="shared" si="70"/>
        <v>0</v>
      </c>
      <c r="AF43" s="602">
        <f t="shared" si="57"/>
        <v>0</v>
      </c>
      <c r="AG43" s="603">
        <f t="shared" si="58"/>
        <v>0</v>
      </c>
      <c r="AH43" s="604">
        <f>IF($M$3&gt;0,TGsh!C41*$M$4%+TGsh!D41*(1-$M$4%),0)</f>
        <v>0</v>
      </c>
      <c r="AI43" s="617" t="str">
        <f>$AI$8</f>
        <v>Gr. Guía</v>
      </c>
      <c r="AJ43" s="618" t="str">
        <f>$AJ$8</f>
        <v>Peso Sem</v>
      </c>
      <c r="AK43" s="695">
        <f>IF(SUM($F41:$F47)&gt;0,SUMPRODUCT($F41:$F47,H41:H47)/SUM($F41:$F47),0)</f>
        <v>0</v>
      </c>
      <c r="AL43" s="620">
        <f>IF($Q$1&gt;0,I47,0)</f>
        <v>0</v>
      </c>
      <c r="AM43" s="621" t="str">
        <f>IF(AK43&gt;0,(AK43-AL43)/AL43*100,"")</f>
        <v/>
      </c>
      <c r="AN43" s="505"/>
      <c r="AO43" s="610">
        <v>1</v>
      </c>
      <c r="AP43" s="572">
        <f>AK12</f>
        <v>0</v>
      </c>
      <c r="AQ43" s="572">
        <f t="shared" ref="AQ43:AR43" si="77">AL12</f>
        <v>0</v>
      </c>
      <c r="AR43" s="611" t="str">
        <f t="shared" si="77"/>
        <v/>
      </c>
      <c r="AS43" s="545">
        <f t="shared" si="60"/>
        <v>0</v>
      </c>
      <c r="AT43" s="545">
        <f t="shared" si="61"/>
        <v>0</v>
      </c>
      <c r="AU43" s="545">
        <f t="shared" si="62"/>
        <v>0</v>
      </c>
      <c r="AV43" s="505"/>
      <c r="AW43" s="505"/>
      <c r="AX43" s="505"/>
      <c r="AY43" s="505"/>
      <c r="AZ43" s="622">
        <f t="shared" si="72"/>
        <v>7</v>
      </c>
      <c r="BA43" s="623">
        <f>AI54</f>
        <v>0</v>
      </c>
      <c r="BB43" s="623">
        <f>IF('Liq-Zoot'!$E$31&gt;0,AL50/1000*J54/'Liq-Zoot'!$E$31,0)</f>
        <v>0</v>
      </c>
      <c r="BC43" s="624" t="str">
        <f>IF(BA43&gt;0,(BA43-BB43)/BB43*100,"")</f>
        <v/>
      </c>
      <c r="BD43" s="505"/>
      <c r="BE43" s="505"/>
      <c r="BF43" s="505"/>
    </row>
    <row r="44" spans="1:58" ht="16.5" thickBot="1" x14ac:dyDescent="0.3">
      <c r="A44" s="803"/>
      <c r="B44" s="579" t="str">
        <f t="shared" si="38"/>
        <v/>
      </c>
      <c r="C44" s="580">
        <f t="shared" si="64"/>
        <v>39</v>
      </c>
      <c r="D44" s="581"/>
      <c r="E44" s="582"/>
      <c r="F44" s="583"/>
      <c r="G44" s="581"/>
      <c r="H44" s="584">
        <f t="shared" si="0"/>
        <v>0</v>
      </c>
      <c r="I44" s="685">
        <f>IF($Q$1&gt;0,TGsh!E42*$M$4%+TGsh!F42*(1-$M$4%),0)</f>
        <v>0</v>
      </c>
      <c r="J44" s="586">
        <f t="shared" si="65"/>
        <v>0</v>
      </c>
      <c r="K44" s="691" t="str">
        <f>$K$9</f>
        <v xml:space="preserve">Mort + Sel Sem </v>
      </c>
      <c r="L44" s="626">
        <f>SUM(L42:L43)</f>
        <v>0</v>
      </c>
      <c r="M44" s="627">
        <f>IF(J40&gt;0,L44/J40,0)</f>
        <v>0</v>
      </c>
      <c r="N44" s="628">
        <f t="shared" ref="N44" ca="1" si="78">SUM(N42:N43)</f>
        <v>0</v>
      </c>
      <c r="O44" s="591"/>
      <c r="P44" s="596"/>
      <c r="Q44" s="596"/>
      <c r="R44" s="616">
        <f t="shared" si="67"/>
        <v>0</v>
      </c>
      <c r="S44" s="594"/>
      <c r="T44" s="596"/>
      <c r="U44" s="595"/>
      <c r="V44" s="593">
        <f t="shared" si="68"/>
        <v>0</v>
      </c>
      <c r="W44" s="592"/>
      <c r="X44" s="592"/>
      <c r="Y44" s="592"/>
      <c r="Z44" s="593">
        <f t="shared" si="23"/>
        <v>0</v>
      </c>
      <c r="AA44" s="597">
        <f t="shared" si="16"/>
        <v>0</v>
      </c>
      <c r="AB44" s="598">
        <f t="shared" si="55"/>
        <v>0</v>
      </c>
      <c r="AC44" s="599">
        <f t="shared" si="69"/>
        <v>0</v>
      </c>
      <c r="AD44" s="600">
        <f t="shared" si="56"/>
        <v>0</v>
      </c>
      <c r="AE44" s="601">
        <f t="shared" si="70"/>
        <v>0</v>
      </c>
      <c r="AF44" s="602">
        <f t="shared" si="57"/>
        <v>0</v>
      </c>
      <c r="AG44" s="603">
        <f t="shared" si="58"/>
        <v>0</v>
      </c>
      <c r="AH44" s="604">
        <f>IF($M$3&gt;0,TGsh!C42*$M$4%+TGsh!D42*(1-$M$4%),0)</f>
        <v>0</v>
      </c>
      <c r="AI44" s="605">
        <f>IF(SUM(AD41:AD47)&gt;0,AVERAGEIF(AD41:AD47,"&gt;0",AH41:AH47),0)</f>
        <v>0</v>
      </c>
      <c r="AJ44" s="629" t="str">
        <f t="shared" ref="AJ44" si="79">AJ37</f>
        <v>Gan Dia</v>
      </c>
      <c r="AK44" s="630">
        <f>IF(AND(AK36&gt;0,AK43&gt;0),(AK43-AK36)/(COUNTIF(AD41:AD47,"&gt;0")),0)</f>
        <v>0</v>
      </c>
      <c r="AL44" s="631">
        <f>IF(AND(AL36&gt;0,AL43&gt;0,COUNTIF(AD41:AD47,"&gt;0")),(AL43-AL36)/COUNTIF(AD41:AD47,"&gt;0"),0)</f>
        <v>0</v>
      </c>
      <c r="AM44" s="632" t="str">
        <f>IF(AK44&gt;0,(AK44-AL44)/AL44*100,"")</f>
        <v/>
      </c>
      <c r="AN44" s="694"/>
      <c r="AO44" s="622">
        <f>AO43+1</f>
        <v>2</v>
      </c>
      <c r="AP44" s="623">
        <f>AK19</f>
        <v>0</v>
      </c>
      <c r="AQ44" s="623">
        <f t="shared" ref="AQ44:AR44" si="80">AL19</f>
        <v>0</v>
      </c>
      <c r="AR44" s="624" t="str">
        <f t="shared" si="80"/>
        <v/>
      </c>
      <c r="AS44" s="545">
        <f t="shared" si="60"/>
        <v>0</v>
      </c>
      <c r="AT44" s="545">
        <f t="shared" si="61"/>
        <v>0</v>
      </c>
      <c r="AU44" s="545">
        <f t="shared" si="62"/>
        <v>0</v>
      </c>
      <c r="AV44" s="505"/>
      <c r="AW44" s="505"/>
      <c r="AX44" s="505"/>
      <c r="AY44" s="505"/>
      <c r="AZ44" s="687">
        <f t="shared" si="72"/>
        <v>8</v>
      </c>
      <c r="BA44" s="688">
        <f>AI61</f>
        <v>0</v>
      </c>
      <c r="BB44" s="688">
        <f>IF('Liq-Zoot'!$E$31&gt;0,AL57/1000*J61/'Liq-Zoot'!$E$31,0)</f>
        <v>0</v>
      </c>
      <c r="BC44" s="689" t="str">
        <f t="shared" si="63"/>
        <v/>
      </c>
      <c r="BD44" s="505"/>
      <c r="BE44" s="505"/>
      <c r="BF44" s="505"/>
    </row>
    <row r="45" spans="1:58" ht="15.75" customHeight="1" x14ac:dyDescent="0.25">
      <c r="A45" s="803"/>
      <c r="B45" s="579" t="str">
        <f t="shared" si="38"/>
        <v/>
      </c>
      <c r="C45" s="580">
        <f t="shared" si="64"/>
        <v>40</v>
      </c>
      <c r="D45" s="581"/>
      <c r="E45" s="582"/>
      <c r="F45" s="583"/>
      <c r="G45" s="581"/>
      <c r="H45" s="584">
        <f t="shared" si="0"/>
        <v>0</v>
      </c>
      <c r="I45" s="685">
        <f>IF($Q$1&gt;0,TGsh!E43*$M$4%+TGsh!F43*(1-$M$4%),0)</f>
        <v>0</v>
      </c>
      <c r="J45" s="586">
        <f t="shared" si="65"/>
        <v>0</v>
      </c>
      <c r="K45" s="692" t="str">
        <f>$K$10</f>
        <v xml:space="preserve">Mort Acum </v>
      </c>
      <c r="L45" s="634">
        <f>L42+L38</f>
        <v>0</v>
      </c>
      <c r="M45" s="635">
        <f>IF($M$3&gt;0,L45/$M$3,0)</f>
        <v>0</v>
      </c>
      <c r="N45" s="636">
        <f ca="1">TGsh!H45</f>
        <v>0</v>
      </c>
      <c r="O45" s="591"/>
      <c r="P45" s="596"/>
      <c r="Q45" s="596"/>
      <c r="R45" s="616">
        <f t="shared" si="67"/>
        <v>0</v>
      </c>
      <c r="S45" s="594"/>
      <c r="T45" s="596"/>
      <c r="U45" s="595"/>
      <c r="V45" s="593">
        <f t="shared" si="68"/>
        <v>0</v>
      </c>
      <c r="W45" s="592"/>
      <c r="X45" s="592"/>
      <c r="Y45" s="592"/>
      <c r="Z45" s="593">
        <f t="shared" si="23"/>
        <v>0</v>
      </c>
      <c r="AA45" s="597">
        <f t="shared" si="16"/>
        <v>0</v>
      </c>
      <c r="AB45" s="598">
        <f t="shared" si="55"/>
        <v>0</v>
      </c>
      <c r="AC45" s="599">
        <f t="shared" si="69"/>
        <v>0</v>
      </c>
      <c r="AD45" s="600">
        <f>IF(P$5="Bulto X 40 K",P45,P45/40)+IF(T$5="Bulto X 40 K",T45,T45/40)+IF(X$5="Bulto X 40 K",X45,X45/40)</f>
        <v>0</v>
      </c>
      <c r="AE45" s="601">
        <f t="shared" si="70"/>
        <v>0</v>
      </c>
      <c r="AF45" s="602">
        <f t="shared" si="57"/>
        <v>0</v>
      </c>
      <c r="AG45" s="603">
        <f t="shared" si="58"/>
        <v>0</v>
      </c>
      <c r="AH45" s="604">
        <f>IF($M$3&gt;0,TGsh!C43*$M$4%+TGsh!D43*(1-$M$4%),0)</f>
        <v>0</v>
      </c>
      <c r="AI45" s="770" t="s">
        <v>188</v>
      </c>
      <c r="AJ45" s="637" t="str">
        <f>$AJ$10</f>
        <v>Conversión</v>
      </c>
      <c r="AK45" s="638">
        <f>IF(AK43&gt;0,AK42/AK43,0)</f>
        <v>0</v>
      </c>
      <c r="AL45" s="639">
        <f>IF(AL43&gt;0,AL42/AL43,0)</f>
        <v>0</v>
      </c>
      <c r="AM45" s="640" t="str">
        <f>IF(AK43&gt;0,-(AK45-AL45)/AL45*100,"")</f>
        <v/>
      </c>
      <c r="AN45" s="505"/>
      <c r="AO45" s="622">
        <f t="shared" ref="AO45:AO50" si="81">AO44+1</f>
        <v>3</v>
      </c>
      <c r="AP45" s="623">
        <f>AK26</f>
        <v>0</v>
      </c>
      <c r="AQ45" s="623">
        <f t="shared" ref="AQ45:AR45" si="82">AL26</f>
        <v>0</v>
      </c>
      <c r="AR45" s="624" t="str">
        <f t="shared" si="82"/>
        <v/>
      </c>
      <c r="AS45" s="545">
        <f t="shared" si="60"/>
        <v>0</v>
      </c>
      <c r="AT45" s="545">
        <f t="shared" si="61"/>
        <v>0</v>
      </c>
      <c r="AU45" s="545">
        <f t="shared" si="62"/>
        <v>0</v>
      </c>
      <c r="AV45" s="505"/>
      <c r="AW45" s="505"/>
      <c r="AX45" s="505"/>
      <c r="AY45" s="505"/>
      <c r="AZ45" s="505"/>
      <c r="BA45" s="505"/>
      <c r="BB45" s="505"/>
      <c r="BC45" s="505"/>
      <c r="BD45" s="505"/>
      <c r="BE45" s="505"/>
      <c r="BF45" s="505"/>
    </row>
    <row r="46" spans="1:58" ht="15.75" x14ac:dyDescent="0.25">
      <c r="A46" s="803"/>
      <c r="B46" s="579" t="str">
        <f t="shared" si="38"/>
        <v/>
      </c>
      <c r="C46" s="580">
        <f t="shared" si="64"/>
        <v>41</v>
      </c>
      <c r="D46" s="581"/>
      <c r="E46" s="582"/>
      <c r="F46" s="583"/>
      <c r="G46" s="642"/>
      <c r="H46" s="643">
        <f t="shared" si="0"/>
        <v>0</v>
      </c>
      <c r="I46" s="585">
        <f>IF($Q$1&gt;0,TGsh!E44*$M$4%+TGsh!F44*(1-$M$4%),0)</f>
        <v>0</v>
      </c>
      <c r="J46" s="644">
        <f t="shared" si="65"/>
        <v>0</v>
      </c>
      <c r="K46" s="690" t="str">
        <f>$K$11</f>
        <v xml:space="preserve">Sel Acum </v>
      </c>
      <c r="L46" s="613">
        <f>L43+L39</f>
        <v>0</v>
      </c>
      <c r="M46" s="614">
        <f>IF($M$3&gt;0,L46/$M$3,0)</f>
        <v>0</v>
      </c>
      <c r="N46" s="645">
        <f t="shared" ref="N46" si="83">N43+N39</f>
        <v>0</v>
      </c>
      <c r="O46" s="591"/>
      <c r="P46" s="596"/>
      <c r="Q46" s="596"/>
      <c r="R46" s="616">
        <f t="shared" si="67"/>
        <v>0</v>
      </c>
      <c r="S46" s="594"/>
      <c r="T46" s="596"/>
      <c r="U46" s="595"/>
      <c r="V46" s="593">
        <f t="shared" si="68"/>
        <v>0</v>
      </c>
      <c r="W46" s="592"/>
      <c r="X46" s="596"/>
      <c r="Y46" s="592"/>
      <c r="Z46" s="593">
        <f t="shared" si="23"/>
        <v>0</v>
      </c>
      <c r="AA46" s="597">
        <f t="shared" si="16"/>
        <v>0</v>
      </c>
      <c r="AB46" s="598">
        <f t="shared" si="55"/>
        <v>0</v>
      </c>
      <c r="AC46" s="599">
        <f t="shared" si="69"/>
        <v>0</v>
      </c>
      <c r="AD46" s="600">
        <f t="shared" si="56"/>
        <v>0</v>
      </c>
      <c r="AE46" s="601">
        <f t="shared" si="70"/>
        <v>0</v>
      </c>
      <c r="AF46" s="602">
        <f t="shared" si="57"/>
        <v>0</v>
      </c>
      <c r="AG46" s="603">
        <f t="shared" si="58"/>
        <v>0</v>
      </c>
      <c r="AH46" s="604">
        <f>IF($M$3&gt;0,TGsh!C44*$M$4%+TGsh!D44*(1-$M$4%),0)</f>
        <v>0</v>
      </c>
      <c r="AI46" s="771"/>
      <c r="AJ46" s="637" t="str">
        <f>$AJ$11</f>
        <v>Ef. Alim</v>
      </c>
      <c r="AK46" s="646">
        <f>IF(AK45&gt;0,AK43/AK45/10,0)</f>
        <v>0</v>
      </c>
      <c r="AL46" s="647">
        <f>IF(AL45&gt;0,AL43/AL45/10,0)</f>
        <v>0</v>
      </c>
      <c r="AM46" s="640" t="str">
        <f>IF(AK46&gt;0,(AK46-AL46)/AL46*100,"")</f>
        <v/>
      </c>
      <c r="AN46" s="505"/>
      <c r="AO46" s="622">
        <f t="shared" si="81"/>
        <v>4</v>
      </c>
      <c r="AP46" s="623">
        <f>AK33</f>
        <v>0</v>
      </c>
      <c r="AQ46" s="623">
        <f t="shared" ref="AQ46:AR46" si="84">AL33</f>
        <v>0</v>
      </c>
      <c r="AR46" s="624" t="str">
        <f t="shared" si="84"/>
        <v/>
      </c>
      <c r="AS46" s="545">
        <f t="shared" si="60"/>
        <v>0</v>
      </c>
      <c r="AT46" s="545">
        <f t="shared" si="61"/>
        <v>0</v>
      </c>
      <c r="AU46" s="545">
        <f t="shared" si="62"/>
        <v>0</v>
      </c>
      <c r="AV46" s="505"/>
      <c r="AW46" s="505"/>
      <c r="AX46" s="505"/>
      <c r="AY46" s="505"/>
      <c r="AZ46" s="505"/>
      <c r="BA46" s="505"/>
      <c r="BB46" s="505"/>
      <c r="BC46" s="505"/>
      <c r="BD46" s="505"/>
      <c r="BE46" s="505"/>
      <c r="BF46" s="505"/>
    </row>
    <row r="47" spans="1:58" ht="16.5" thickBot="1" x14ac:dyDescent="0.3">
      <c r="A47" s="804"/>
      <c r="B47" s="648" t="str">
        <f t="shared" si="38"/>
        <v/>
      </c>
      <c r="C47" s="649">
        <f t="shared" si="64"/>
        <v>42</v>
      </c>
      <c r="D47" s="650"/>
      <c r="E47" s="651"/>
      <c r="F47" s="652"/>
      <c r="G47" s="650"/>
      <c r="H47" s="653">
        <f t="shared" si="0"/>
        <v>0</v>
      </c>
      <c r="I47" s="654">
        <f>IF($Q$1&gt;0,TGsh!E45*$M$4%+TGsh!F45*(1-$M$4%),0)</f>
        <v>0</v>
      </c>
      <c r="J47" s="655">
        <f t="shared" si="65"/>
        <v>0</v>
      </c>
      <c r="K47" s="693" t="str">
        <f>$K$12</f>
        <v xml:space="preserve">Mort + Sel Acum </v>
      </c>
      <c r="L47" s="657">
        <f>L44+L40</f>
        <v>0</v>
      </c>
      <c r="M47" s="658">
        <f>IF($M$3&gt;0,L47/$M$3,0)</f>
        <v>0</v>
      </c>
      <c r="N47" s="659">
        <f t="shared" ref="N47" ca="1" si="85">SUM(N45:N46)</f>
        <v>0</v>
      </c>
      <c r="O47" s="660"/>
      <c r="P47" s="666"/>
      <c r="Q47" s="666"/>
      <c r="R47" s="662">
        <f t="shared" si="67"/>
        <v>0</v>
      </c>
      <c r="S47" s="663"/>
      <c r="T47" s="666"/>
      <c r="U47" s="664"/>
      <c r="V47" s="665">
        <f t="shared" si="68"/>
        <v>0</v>
      </c>
      <c r="W47" s="661"/>
      <c r="X47" s="666"/>
      <c r="Y47" s="666"/>
      <c r="Z47" s="667">
        <f t="shared" si="23"/>
        <v>0</v>
      </c>
      <c r="AA47" s="668">
        <f t="shared" si="16"/>
        <v>0</v>
      </c>
      <c r="AB47" s="669">
        <f t="shared" si="55"/>
        <v>0</v>
      </c>
      <c r="AC47" s="670">
        <f t="shared" si="69"/>
        <v>0</v>
      </c>
      <c r="AD47" s="671">
        <f t="shared" si="56"/>
        <v>0</v>
      </c>
      <c r="AE47" s="672">
        <f t="shared" si="70"/>
        <v>0</v>
      </c>
      <c r="AF47" s="673">
        <f t="shared" si="57"/>
        <v>0</v>
      </c>
      <c r="AG47" s="674">
        <f t="shared" si="58"/>
        <v>0</v>
      </c>
      <c r="AH47" s="675">
        <f>IF($M$3&gt;0,TGsh!C45*$M$4%+TGsh!D45*(1-$M$4%),0)</f>
        <v>0</v>
      </c>
      <c r="AI47" s="676">
        <f>IF('Liq-Zoot'!$E$31&gt;0,AK43/1000*J47/'Liq-Zoot'!$E$31,0)</f>
        <v>0</v>
      </c>
      <c r="AJ47" s="677" t="str">
        <f>$AJ$12</f>
        <v>Fact. IP</v>
      </c>
      <c r="AK47" s="678">
        <f>IF(AK45&gt;0,AK46/AK45,0)</f>
        <v>0</v>
      </c>
      <c r="AL47" s="679">
        <f>IF(AL45&gt;0,AL46/AL45,0)</f>
        <v>0</v>
      </c>
      <c r="AM47" s="680" t="str">
        <f>IF(AK47&gt;0,(AK47-AL47)/AL47*100,"")</f>
        <v/>
      </c>
      <c r="AN47" s="505"/>
      <c r="AO47" s="622">
        <f t="shared" si="81"/>
        <v>5</v>
      </c>
      <c r="AP47" s="623">
        <f>AK40</f>
        <v>0</v>
      </c>
      <c r="AQ47" s="623">
        <f t="shared" ref="AQ47:AR47" si="86">AL40</f>
        <v>0</v>
      </c>
      <c r="AR47" s="624" t="str">
        <f t="shared" si="86"/>
        <v/>
      </c>
      <c r="AS47" s="545">
        <f t="shared" si="60"/>
        <v>0</v>
      </c>
      <c r="AT47" s="545">
        <f t="shared" si="61"/>
        <v>0</v>
      </c>
      <c r="AU47" s="545">
        <f t="shared" si="62"/>
        <v>0</v>
      </c>
      <c r="AV47" s="505"/>
      <c r="AW47" s="505"/>
      <c r="AX47" s="505"/>
      <c r="AY47" s="505"/>
      <c r="AZ47" s="505"/>
      <c r="BA47" s="505"/>
      <c r="BB47" s="505"/>
      <c r="BC47" s="505"/>
      <c r="BD47" s="505"/>
      <c r="BE47" s="505"/>
      <c r="BF47" s="505"/>
    </row>
    <row r="48" spans="1:58" ht="15.75" customHeight="1" x14ac:dyDescent="0.25">
      <c r="A48" s="802" t="s">
        <v>26</v>
      </c>
      <c r="B48" s="546" t="str">
        <f t="shared" si="38"/>
        <v/>
      </c>
      <c r="C48" s="547">
        <f t="shared" si="64"/>
        <v>43</v>
      </c>
      <c r="D48" s="548"/>
      <c r="E48" s="549"/>
      <c r="F48" s="550"/>
      <c r="G48" s="548"/>
      <c r="H48" s="551">
        <f t="shared" si="0"/>
        <v>0</v>
      </c>
      <c r="I48" s="552">
        <f>IF($Q$1&gt;0,TGsh!E46*$M$4%+TGsh!F46*(1-$M$4%),0)</f>
        <v>0</v>
      </c>
      <c r="J48" s="553">
        <f t="shared" si="65"/>
        <v>0</v>
      </c>
      <c r="K48" s="554" t="str">
        <f>$K$6</f>
        <v>Item</v>
      </c>
      <c r="L48" s="555" t="str">
        <f>$L$6</f>
        <v>#</v>
      </c>
      <c r="M48" s="555" t="str">
        <f>$M$6</f>
        <v>Real %</v>
      </c>
      <c r="N48" s="556" t="str">
        <f t="shared" ref="N48" si="87">$N$6</f>
        <v>Guia %</v>
      </c>
      <c r="O48" s="682"/>
      <c r="P48" s="561"/>
      <c r="Q48" s="561"/>
      <c r="R48" s="683">
        <f t="shared" si="67"/>
        <v>0</v>
      </c>
      <c r="S48" s="559"/>
      <c r="T48" s="561"/>
      <c r="U48" s="560"/>
      <c r="V48" s="558">
        <f t="shared" si="68"/>
        <v>0</v>
      </c>
      <c r="W48" s="557"/>
      <c r="X48" s="561"/>
      <c r="Y48" s="561"/>
      <c r="Z48" s="558">
        <f t="shared" si="23"/>
        <v>0</v>
      </c>
      <c r="AA48" s="562">
        <f t="shared" si="16"/>
        <v>0</v>
      </c>
      <c r="AB48" s="563">
        <f t="shared" si="55"/>
        <v>0</v>
      </c>
      <c r="AC48" s="564">
        <f t="shared" si="69"/>
        <v>0</v>
      </c>
      <c r="AD48" s="565">
        <f t="shared" si="56"/>
        <v>0</v>
      </c>
      <c r="AE48" s="566">
        <f t="shared" si="70"/>
        <v>0</v>
      </c>
      <c r="AF48" s="567">
        <f t="shared" si="57"/>
        <v>0</v>
      </c>
      <c r="AG48" s="568">
        <f t="shared" si="58"/>
        <v>0</v>
      </c>
      <c r="AH48" s="569">
        <f>IF($M$3&gt;0,TGsh!C46*$M$4%+TGsh!D46*(1-$M$4%),0)</f>
        <v>0</v>
      </c>
      <c r="AI48" s="684" t="str">
        <f>$AI$6</f>
        <v>Gr. Obten.</v>
      </c>
      <c r="AJ48" s="571" t="str">
        <f>$AJ$6</f>
        <v>Cons Sem</v>
      </c>
      <c r="AK48" s="572">
        <f>IF((J54+SUM(F48:F54))&gt;0,SUM(AD48:AD54)*40000/(J54+SUM(F48:F54)),0)</f>
        <v>0</v>
      </c>
      <c r="AL48" s="573">
        <f>SUMIF($AD48:$AD54,"&gt;0",AH48:AH54)</f>
        <v>0</v>
      </c>
      <c r="AM48" s="574" t="str">
        <f>IF(AK48&gt;0,(AK48-AL48)/AL48*100,"")</f>
        <v/>
      </c>
      <c r="AN48" s="505"/>
      <c r="AO48" s="622">
        <f t="shared" si="81"/>
        <v>6</v>
      </c>
      <c r="AP48" s="623">
        <f>AK47</f>
        <v>0</v>
      </c>
      <c r="AQ48" s="623">
        <f t="shared" ref="AQ48:AR48" si="88">AL47</f>
        <v>0</v>
      </c>
      <c r="AR48" s="624" t="str">
        <f t="shared" si="88"/>
        <v/>
      </c>
      <c r="AS48" s="545">
        <f t="shared" si="60"/>
        <v>0</v>
      </c>
      <c r="AT48" s="545">
        <f t="shared" si="61"/>
        <v>0</v>
      </c>
      <c r="AU48" s="545">
        <f t="shared" si="62"/>
        <v>0</v>
      </c>
      <c r="AV48" s="505"/>
      <c r="AW48" s="505"/>
      <c r="AX48" s="505"/>
      <c r="AY48" s="505"/>
      <c r="AZ48" s="505"/>
      <c r="BA48" s="505"/>
      <c r="BB48" s="505"/>
      <c r="BC48" s="505"/>
      <c r="BD48" s="505"/>
      <c r="BE48" s="505"/>
      <c r="BF48" s="505"/>
    </row>
    <row r="49" spans="1:58" ht="16.5" thickBot="1" x14ac:dyDescent="0.3">
      <c r="A49" s="803"/>
      <c r="B49" s="579" t="str">
        <f t="shared" si="38"/>
        <v/>
      </c>
      <c r="C49" s="580">
        <f t="shared" si="64"/>
        <v>44</v>
      </c>
      <c r="D49" s="581"/>
      <c r="E49" s="582"/>
      <c r="F49" s="583"/>
      <c r="G49" s="581"/>
      <c r="H49" s="584">
        <f t="shared" si="0"/>
        <v>0</v>
      </c>
      <c r="I49" s="685">
        <f>IF($Q$1&gt;0,TGsh!E47*$M$4%+TGsh!F47*(1-$M$4%),0)</f>
        <v>0</v>
      </c>
      <c r="J49" s="586">
        <f t="shared" si="65"/>
        <v>0</v>
      </c>
      <c r="K49" s="686" t="str">
        <f>$K$7</f>
        <v xml:space="preserve">Mort Sem </v>
      </c>
      <c r="L49" s="588">
        <f>SUM(D48:D54)</f>
        <v>0</v>
      </c>
      <c r="M49" s="589">
        <f>IF(J47&gt;0,L49/J47,0)</f>
        <v>0</v>
      </c>
      <c r="N49" s="590">
        <f ca="1">SUM(TGsh!G46:G52)</f>
        <v>0</v>
      </c>
      <c r="O49" s="591"/>
      <c r="P49" s="596"/>
      <c r="Q49" s="596"/>
      <c r="R49" s="616">
        <f t="shared" si="67"/>
        <v>0</v>
      </c>
      <c r="S49" s="594"/>
      <c r="T49" s="596"/>
      <c r="U49" s="595"/>
      <c r="V49" s="593">
        <f t="shared" si="68"/>
        <v>0</v>
      </c>
      <c r="W49" s="592"/>
      <c r="X49" s="596"/>
      <c r="Y49" s="596"/>
      <c r="Z49" s="593">
        <f t="shared" si="23"/>
        <v>0</v>
      </c>
      <c r="AA49" s="597">
        <f t="shared" si="16"/>
        <v>0</v>
      </c>
      <c r="AB49" s="598">
        <f t="shared" si="55"/>
        <v>0</v>
      </c>
      <c r="AC49" s="599">
        <f t="shared" si="69"/>
        <v>0</v>
      </c>
      <c r="AD49" s="600">
        <f t="shared" si="56"/>
        <v>0</v>
      </c>
      <c r="AE49" s="601">
        <f t="shared" si="70"/>
        <v>0</v>
      </c>
      <c r="AF49" s="602">
        <f t="shared" si="57"/>
        <v>0</v>
      </c>
      <c r="AG49" s="603">
        <f t="shared" si="58"/>
        <v>0</v>
      </c>
      <c r="AH49" s="604">
        <f>IF($M$3&gt;0,TGsh!C47*$M$4%+TGsh!D47*(1-$M$4%),0)</f>
        <v>0</v>
      </c>
      <c r="AI49" s="605">
        <f>IF(SUM(AD48:AD54)&gt;0,AVERAGEIF(AD48:AD54,"&gt;0",AG48:AG54),0)</f>
        <v>0</v>
      </c>
      <c r="AJ49" s="606" t="str">
        <f>$AJ$7</f>
        <v>Cons Acum</v>
      </c>
      <c r="AK49" s="607">
        <f>IF((J54+SUM(F$6:F54))&gt;0,SUM(AD$6:AD54)*40000/(J54+SUM(F$6:F54)),0)</f>
        <v>0</v>
      </c>
      <c r="AL49" s="608">
        <f>AL42+AL48</f>
        <v>0</v>
      </c>
      <c r="AM49" s="609" t="str">
        <f>IF(AK48&gt;0,(AK49-AL49)/AL49*100,"")</f>
        <v/>
      </c>
      <c r="AN49" s="505"/>
      <c r="AO49" s="622">
        <f t="shared" si="81"/>
        <v>7</v>
      </c>
      <c r="AP49" s="623">
        <f>AK54</f>
        <v>0</v>
      </c>
      <c r="AQ49" s="623">
        <f t="shared" ref="AQ49:AR49" si="89">AL54</f>
        <v>0</v>
      </c>
      <c r="AR49" s="624" t="str">
        <f t="shared" si="89"/>
        <v/>
      </c>
      <c r="AS49" s="545">
        <f t="shared" si="60"/>
        <v>0</v>
      </c>
      <c r="AT49" s="545">
        <f t="shared" si="61"/>
        <v>0</v>
      </c>
      <c r="AU49" s="545">
        <f t="shared" si="62"/>
        <v>0</v>
      </c>
      <c r="AV49" s="505"/>
      <c r="AW49" s="505"/>
      <c r="AX49" s="505"/>
      <c r="AY49" s="505"/>
      <c r="AZ49" s="505"/>
      <c r="BA49" s="505"/>
      <c r="BB49" s="505"/>
      <c r="BC49" s="505"/>
      <c r="BD49" s="505"/>
      <c r="BE49" s="505"/>
      <c r="BF49" s="505"/>
    </row>
    <row r="50" spans="1:58" ht="16.5" thickBot="1" x14ac:dyDescent="0.3">
      <c r="A50" s="803"/>
      <c r="B50" s="579" t="str">
        <f t="shared" si="38"/>
        <v/>
      </c>
      <c r="C50" s="580">
        <f t="shared" si="64"/>
        <v>45</v>
      </c>
      <c r="D50" s="581"/>
      <c r="E50" s="582"/>
      <c r="F50" s="583"/>
      <c r="G50" s="581"/>
      <c r="H50" s="584">
        <f t="shared" si="0"/>
        <v>0</v>
      </c>
      <c r="I50" s="685">
        <f>IF($Q$1&gt;0,TGsh!E48*$M$4%+TGsh!F48*(1-$M$4%),0)</f>
        <v>0</v>
      </c>
      <c r="J50" s="586">
        <f t="shared" si="65"/>
        <v>0</v>
      </c>
      <c r="K50" s="690" t="str">
        <f>$K$8</f>
        <v xml:space="preserve">Sel Sem </v>
      </c>
      <c r="L50" s="613">
        <f>SUM(E48:E54)</f>
        <v>0</v>
      </c>
      <c r="M50" s="614">
        <f>IF(J47&gt;0,L50/J47,0)</f>
        <v>0</v>
      </c>
      <c r="N50" s="615">
        <v>0</v>
      </c>
      <c r="O50" s="591"/>
      <c r="P50" s="596"/>
      <c r="Q50" s="596"/>
      <c r="R50" s="616">
        <f t="shared" si="67"/>
        <v>0</v>
      </c>
      <c r="S50" s="594"/>
      <c r="T50" s="596"/>
      <c r="U50" s="595"/>
      <c r="V50" s="593">
        <f t="shared" si="68"/>
        <v>0</v>
      </c>
      <c r="W50" s="592"/>
      <c r="X50" s="596"/>
      <c r="Y50" s="596"/>
      <c r="Z50" s="593">
        <f t="shared" si="23"/>
        <v>0</v>
      </c>
      <c r="AA50" s="597">
        <f t="shared" si="16"/>
        <v>0</v>
      </c>
      <c r="AB50" s="598">
        <f t="shared" si="55"/>
        <v>0</v>
      </c>
      <c r="AC50" s="599">
        <f t="shared" si="69"/>
        <v>0</v>
      </c>
      <c r="AD50" s="600">
        <f t="shared" si="56"/>
        <v>0</v>
      </c>
      <c r="AE50" s="601">
        <f t="shared" si="70"/>
        <v>0</v>
      </c>
      <c r="AF50" s="602">
        <f t="shared" si="57"/>
        <v>0</v>
      </c>
      <c r="AG50" s="603">
        <f t="shared" si="58"/>
        <v>0</v>
      </c>
      <c r="AH50" s="604">
        <f>IF($M$3&gt;0,TGsh!C48*$M$4%+TGsh!D48*(1-$M$4%),0)</f>
        <v>0</v>
      </c>
      <c r="AI50" s="617" t="str">
        <f>$AI$8</f>
        <v>Gr. Guía</v>
      </c>
      <c r="AJ50" s="618" t="str">
        <f>$AJ$8</f>
        <v>Peso Sem</v>
      </c>
      <c r="AK50" s="695">
        <f>IF(SUM(F48:F54)&gt;0,SUMPRODUCT(F48:F54,H48:H54)/SUM(F48:F54),0)</f>
        <v>0</v>
      </c>
      <c r="AL50" s="620">
        <f>IF($Q$1&gt;0,I54,0)</f>
        <v>0</v>
      </c>
      <c r="AM50" s="621" t="str">
        <f>IF(AK50&gt;0,(AK50-AL50)/AL50*100,"")</f>
        <v/>
      </c>
      <c r="AN50" s="505"/>
      <c r="AO50" s="687">
        <f t="shared" si="81"/>
        <v>8</v>
      </c>
      <c r="AP50" s="688">
        <f>AK61</f>
        <v>0</v>
      </c>
      <c r="AQ50" s="688">
        <f t="shared" ref="AQ50:AR50" si="90">AL61</f>
        <v>0</v>
      </c>
      <c r="AR50" s="689" t="str">
        <f t="shared" si="90"/>
        <v/>
      </c>
      <c r="AS50" s="545">
        <f t="shared" si="60"/>
        <v>0</v>
      </c>
      <c r="AT50" s="545">
        <f t="shared" si="61"/>
        <v>0</v>
      </c>
      <c r="AU50" s="545">
        <f t="shared" si="62"/>
        <v>0</v>
      </c>
      <c r="AV50" s="505"/>
      <c r="AW50" s="505"/>
      <c r="AX50" s="505"/>
      <c r="AY50" s="505"/>
      <c r="AZ50" s="505"/>
      <c r="BA50" s="505"/>
      <c r="BB50" s="505"/>
      <c r="BC50" s="505"/>
      <c r="BD50" s="505"/>
      <c r="BE50" s="505"/>
      <c r="BF50" s="505"/>
    </row>
    <row r="51" spans="1:58" ht="15.75" x14ac:dyDescent="0.25">
      <c r="A51" s="803"/>
      <c r="B51" s="579" t="str">
        <f t="shared" si="38"/>
        <v/>
      </c>
      <c r="C51" s="580">
        <f t="shared" si="64"/>
        <v>46</v>
      </c>
      <c r="D51" s="581"/>
      <c r="E51" s="582"/>
      <c r="F51" s="583"/>
      <c r="G51" s="581"/>
      <c r="H51" s="584">
        <f t="shared" si="0"/>
        <v>0</v>
      </c>
      <c r="I51" s="685">
        <f>IF($Q$1&gt;0,TGsh!E49*$M$4%+TGsh!F49*(1-$M$4%),0)</f>
        <v>0</v>
      </c>
      <c r="J51" s="586">
        <f t="shared" si="65"/>
        <v>0</v>
      </c>
      <c r="K51" s="691" t="str">
        <f>$K$9</f>
        <v xml:space="preserve">Mort + Sel Sem </v>
      </c>
      <c r="L51" s="626">
        <f>SUM(L49:L50)</f>
        <v>0</v>
      </c>
      <c r="M51" s="627">
        <f>IF(J47&gt;0,L51/J47,0)</f>
        <v>0</v>
      </c>
      <c r="N51" s="628">
        <f t="shared" ref="N51" ca="1" si="91">SUM(N49:N50)</f>
        <v>0</v>
      </c>
      <c r="O51" s="591"/>
      <c r="P51" s="596"/>
      <c r="Q51" s="596"/>
      <c r="R51" s="616">
        <f t="shared" si="67"/>
        <v>0</v>
      </c>
      <c r="S51" s="594"/>
      <c r="T51" s="596"/>
      <c r="U51" s="595"/>
      <c r="V51" s="593">
        <f t="shared" si="68"/>
        <v>0</v>
      </c>
      <c r="W51" s="592"/>
      <c r="X51" s="596"/>
      <c r="Y51" s="596"/>
      <c r="Z51" s="593">
        <f t="shared" si="23"/>
        <v>0</v>
      </c>
      <c r="AA51" s="597">
        <f t="shared" si="16"/>
        <v>0</v>
      </c>
      <c r="AB51" s="598">
        <f t="shared" si="55"/>
        <v>0</v>
      </c>
      <c r="AC51" s="599">
        <f t="shared" si="69"/>
        <v>0</v>
      </c>
      <c r="AD51" s="600">
        <f t="shared" si="56"/>
        <v>0</v>
      </c>
      <c r="AE51" s="601">
        <f t="shared" si="70"/>
        <v>0</v>
      </c>
      <c r="AF51" s="602">
        <f t="shared" si="57"/>
        <v>0</v>
      </c>
      <c r="AG51" s="603">
        <f t="shared" si="58"/>
        <v>0</v>
      </c>
      <c r="AH51" s="604">
        <f>IF($M$3&gt;0,TGsh!C49*$M$4%+TGsh!D49*(1-$M$4%),0)</f>
        <v>0</v>
      </c>
      <c r="AI51" s="605">
        <f>IF(SUM(AD48:AD54)&gt;0,AVERAGEIF(AD48:AD54,"&gt;0",AH48:AH54),0)</f>
        <v>0</v>
      </c>
      <c r="AJ51" s="629" t="str">
        <f t="shared" ref="AJ51" si="92">AJ44</f>
        <v>Gan Dia</v>
      </c>
      <c r="AK51" s="630">
        <f>IF(AND(AK43&gt;0,AK50&gt;0),(AK50-AK43)/(COUNTIF(AD48:AD54,"&gt;0")),0)</f>
        <v>0</v>
      </c>
      <c r="AL51" s="631">
        <f>IF(AND(AL43&gt;0,AL50&gt;0,COUNTIF(AD48:AD54,"&gt;0")),(AL50-AL43)/COUNTIF(AD48:AD54,"&gt;0"),0)</f>
        <v>0</v>
      </c>
      <c r="AM51" s="632" t="str">
        <f>IF(AK51&gt;0,(AK51-AL51)/AL51*100,"")</f>
        <v/>
      </c>
      <c r="AN51" s="694"/>
      <c r="AO51" s="694"/>
      <c r="AP51" s="505"/>
      <c r="AQ51" s="505"/>
      <c r="AR51" s="505"/>
      <c r="AS51" s="545">
        <f t="shared" si="60"/>
        <v>0</v>
      </c>
      <c r="AT51" s="545">
        <f t="shared" si="61"/>
        <v>0</v>
      </c>
      <c r="AU51" s="545">
        <f t="shared" si="62"/>
        <v>0</v>
      </c>
      <c r="AV51" s="505"/>
      <c r="AW51" s="505"/>
      <c r="AX51" s="505"/>
      <c r="AY51" s="505"/>
      <c r="AZ51" s="505"/>
      <c r="BA51" s="505"/>
      <c r="BB51" s="505"/>
      <c r="BC51" s="505"/>
      <c r="BD51" s="505"/>
      <c r="BE51" s="505"/>
      <c r="BF51" s="505"/>
    </row>
    <row r="52" spans="1:58" ht="15.75" customHeight="1" x14ac:dyDescent="0.25">
      <c r="A52" s="803"/>
      <c r="B52" s="579" t="str">
        <f t="shared" si="38"/>
        <v/>
      </c>
      <c r="C52" s="580">
        <f t="shared" si="64"/>
        <v>47</v>
      </c>
      <c r="D52" s="581"/>
      <c r="E52" s="582"/>
      <c r="F52" s="583"/>
      <c r="G52" s="581"/>
      <c r="H52" s="584">
        <f t="shared" si="0"/>
        <v>0</v>
      </c>
      <c r="I52" s="685">
        <f>IF($Q$1&gt;0,TGsh!E50*$M$4%+TGsh!F50*(1-$M$4%),0)</f>
        <v>0</v>
      </c>
      <c r="J52" s="586">
        <f t="shared" si="65"/>
        <v>0</v>
      </c>
      <c r="K52" s="692" t="str">
        <f>$K$10</f>
        <v xml:space="preserve">Mort Acum </v>
      </c>
      <c r="L52" s="634">
        <f>L49+L45</f>
        <v>0</v>
      </c>
      <c r="M52" s="635">
        <f>IF($M$3&gt;0,L52/$M$3,0)</f>
        <v>0</v>
      </c>
      <c r="N52" s="636">
        <f ca="1">TGsh!H52</f>
        <v>0</v>
      </c>
      <c r="O52" s="591"/>
      <c r="P52" s="596"/>
      <c r="Q52" s="596"/>
      <c r="R52" s="616">
        <f t="shared" si="67"/>
        <v>0</v>
      </c>
      <c r="S52" s="594"/>
      <c r="T52" s="596"/>
      <c r="U52" s="595"/>
      <c r="V52" s="593">
        <f t="shared" si="68"/>
        <v>0</v>
      </c>
      <c r="W52" s="592"/>
      <c r="X52" s="596"/>
      <c r="Y52" s="596"/>
      <c r="Z52" s="593">
        <f t="shared" si="23"/>
        <v>0</v>
      </c>
      <c r="AA52" s="597">
        <f t="shared" si="16"/>
        <v>0</v>
      </c>
      <c r="AB52" s="598">
        <f t="shared" si="55"/>
        <v>0</v>
      </c>
      <c r="AC52" s="599">
        <f t="shared" si="69"/>
        <v>0</v>
      </c>
      <c r="AD52" s="600">
        <f t="shared" si="56"/>
        <v>0</v>
      </c>
      <c r="AE52" s="601">
        <f t="shared" si="70"/>
        <v>0</v>
      </c>
      <c r="AF52" s="602">
        <f t="shared" si="57"/>
        <v>0</v>
      </c>
      <c r="AG52" s="603">
        <f t="shared" si="58"/>
        <v>0</v>
      </c>
      <c r="AH52" s="604">
        <f>IF($M$3&gt;0,TGsh!C50*$M$4%+TGsh!D50*(1-$M$4%),0)</f>
        <v>0</v>
      </c>
      <c r="AI52" s="770" t="s">
        <v>188</v>
      </c>
      <c r="AJ52" s="637" t="str">
        <f>$AJ$10</f>
        <v>Conversión</v>
      </c>
      <c r="AK52" s="638">
        <f>IF(AK50&gt;0,AK49/AK50,0)</f>
        <v>0</v>
      </c>
      <c r="AL52" s="639">
        <f>IF(AL50&gt;0,AL49/AL50,0)</f>
        <v>0</v>
      </c>
      <c r="AM52" s="640" t="str">
        <f>IF(AK50&gt;0,-(AK52-AL52)/AL52*100,"")</f>
        <v/>
      </c>
      <c r="AN52" s="505"/>
      <c r="AO52" s="505"/>
      <c r="AP52" s="505"/>
      <c r="AQ52" s="505"/>
      <c r="AR52" s="505"/>
      <c r="AS52" s="545">
        <f t="shared" si="60"/>
        <v>0</v>
      </c>
      <c r="AT52" s="545">
        <f t="shared" si="61"/>
        <v>0</v>
      </c>
      <c r="AU52" s="545">
        <f t="shared" si="62"/>
        <v>0</v>
      </c>
      <c r="AV52" s="505"/>
      <c r="AW52" s="505"/>
      <c r="AX52" s="505"/>
      <c r="AY52" s="505"/>
      <c r="AZ52" s="505"/>
      <c r="BA52" s="505"/>
      <c r="BB52" s="505"/>
      <c r="BC52" s="505"/>
      <c r="BD52" s="505"/>
      <c r="BE52" s="505"/>
      <c r="BF52" s="505"/>
    </row>
    <row r="53" spans="1:58" ht="15.75" x14ac:dyDescent="0.25">
      <c r="A53" s="803"/>
      <c r="B53" s="579" t="str">
        <f t="shared" si="38"/>
        <v/>
      </c>
      <c r="C53" s="580">
        <f t="shared" si="64"/>
        <v>48</v>
      </c>
      <c r="D53" s="581"/>
      <c r="E53" s="582"/>
      <c r="F53" s="583"/>
      <c r="G53" s="642"/>
      <c r="H53" s="643">
        <f t="shared" si="0"/>
        <v>0</v>
      </c>
      <c r="I53" s="585">
        <f>IF($Q$1&gt;0,TGsh!E51*$M$4%+TGsh!F51*(1-$M$4%),0)</f>
        <v>0</v>
      </c>
      <c r="J53" s="644">
        <f t="shared" si="65"/>
        <v>0</v>
      </c>
      <c r="K53" s="690" t="str">
        <f>$K$11</f>
        <v xml:space="preserve">Sel Acum </v>
      </c>
      <c r="L53" s="613">
        <f>L50+L46</f>
        <v>0</v>
      </c>
      <c r="M53" s="614">
        <f>IF($M$3&gt;0,L53/$M$3,0)</f>
        <v>0</v>
      </c>
      <c r="N53" s="645">
        <f t="shared" ref="N53" si="93">N50+N46</f>
        <v>0</v>
      </c>
      <c r="O53" s="591"/>
      <c r="P53" s="596"/>
      <c r="Q53" s="596"/>
      <c r="R53" s="616">
        <f t="shared" si="67"/>
        <v>0</v>
      </c>
      <c r="S53" s="594"/>
      <c r="T53" s="596"/>
      <c r="U53" s="595"/>
      <c r="V53" s="593">
        <f t="shared" si="68"/>
        <v>0</v>
      </c>
      <c r="W53" s="592"/>
      <c r="X53" s="596"/>
      <c r="Y53" s="596"/>
      <c r="Z53" s="593">
        <f t="shared" si="23"/>
        <v>0</v>
      </c>
      <c r="AA53" s="597">
        <f t="shared" si="16"/>
        <v>0</v>
      </c>
      <c r="AB53" s="598">
        <f t="shared" si="55"/>
        <v>0</v>
      </c>
      <c r="AC53" s="599">
        <f t="shared" si="69"/>
        <v>0</v>
      </c>
      <c r="AD53" s="600">
        <f t="shared" si="56"/>
        <v>0</v>
      </c>
      <c r="AE53" s="601">
        <f t="shared" si="70"/>
        <v>0</v>
      </c>
      <c r="AF53" s="602">
        <f t="shared" si="57"/>
        <v>0</v>
      </c>
      <c r="AG53" s="603">
        <f t="shared" si="58"/>
        <v>0</v>
      </c>
      <c r="AH53" s="604">
        <f>IF($M$3&gt;0,TGsh!C51*$M$4%+TGsh!D51*(1-$M$4%),0)</f>
        <v>0</v>
      </c>
      <c r="AI53" s="771"/>
      <c r="AJ53" s="637" t="str">
        <f>$AJ$11</f>
        <v>Ef. Alim</v>
      </c>
      <c r="AK53" s="646">
        <f>IF(AK52&gt;0,AK50/AK52/10,0)</f>
        <v>0</v>
      </c>
      <c r="AL53" s="647">
        <f>IF(AL52&gt;0,AL50/AL52/10,0)</f>
        <v>0</v>
      </c>
      <c r="AM53" s="640" t="str">
        <f>IF(AK53&gt;0,(AK53-AL53)/AL53*100,"")</f>
        <v/>
      </c>
      <c r="AN53" s="505"/>
      <c r="AO53" s="505"/>
      <c r="AP53" s="505"/>
      <c r="AQ53" s="505"/>
      <c r="AR53" s="505"/>
      <c r="AS53" s="545">
        <f t="shared" si="60"/>
        <v>0</v>
      </c>
      <c r="AT53" s="545">
        <f t="shared" si="61"/>
        <v>0</v>
      </c>
      <c r="AU53" s="545">
        <f t="shared" si="62"/>
        <v>0</v>
      </c>
      <c r="AV53" s="505"/>
      <c r="AW53" s="505"/>
      <c r="AX53" s="505"/>
      <c r="AY53" s="505"/>
      <c r="AZ53" s="505"/>
      <c r="BA53" s="505"/>
      <c r="BB53" s="505"/>
      <c r="BC53" s="505"/>
      <c r="BD53" s="505"/>
      <c r="BE53" s="505"/>
      <c r="BF53" s="505"/>
    </row>
    <row r="54" spans="1:58" ht="16.5" thickBot="1" x14ac:dyDescent="0.3">
      <c r="A54" s="804"/>
      <c r="B54" s="648" t="str">
        <f t="shared" si="38"/>
        <v/>
      </c>
      <c r="C54" s="649">
        <f t="shared" si="64"/>
        <v>49</v>
      </c>
      <c r="D54" s="650"/>
      <c r="E54" s="651"/>
      <c r="F54" s="652"/>
      <c r="G54" s="650"/>
      <c r="H54" s="653">
        <f t="shared" si="0"/>
        <v>0</v>
      </c>
      <c r="I54" s="654">
        <f>IF($Q$1&gt;0,TGsh!E52*$M$4%+TGsh!F52*(1-$M$4%),0)</f>
        <v>0</v>
      </c>
      <c r="J54" s="655">
        <f t="shared" si="65"/>
        <v>0</v>
      </c>
      <c r="K54" s="693" t="str">
        <f>$K$12</f>
        <v xml:space="preserve">Mort + Sel Acum </v>
      </c>
      <c r="L54" s="657">
        <f>L51+L47</f>
        <v>0</v>
      </c>
      <c r="M54" s="658">
        <f>IF($M$3&gt;0,L54/$M$3,0)</f>
        <v>0</v>
      </c>
      <c r="N54" s="659">
        <f t="shared" ref="N54" ca="1" si="94">SUM(N52:N53)</f>
        <v>0</v>
      </c>
      <c r="O54" s="660"/>
      <c r="P54" s="666"/>
      <c r="Q54" s="666"/>
      <c r="R54" s="662">
        <f t="shared" si="67"/>
        <v>0</v>
      </c>
      <c r="S54" s="663"/>
      <c r="T54" s="666"/>
      <c r="U54" s="664"/>
      <c r="V54" s="665">
        <f t="shared" si="68"/>
        <v>0</v>
      </c>
      <c r="W54" s="661"/>
      <c r="X54" s="666"/>
      <c r="Y54" s="666"/>
      <c r="Z54" s="667">
        <f t="shared" si="23"/>
        <v>0</v>
      </c>
      <c r="AA54" s="668">
        <f t="shared" si="16"/>
        <v>0</v>
      </c>
      <c r="AB54" s="669">
        <f t="shared" si="55"/>
        <v>0</v>
      </c>
      <c r="AC54" s="670">
        <f t="shared" si="69"/>
        <v>0</v>
      </c>
      <c r="AD54" s="671">
        <f t="shared" si="56"/>
        <v>0</v>
      </c>
      <c r="AE54" s="672">
        <f t="shared" si="70"/>
        <v>0</v>
      </c>
      <c r="AF54" s="673">
        <f t="shared" si="57"/>
        <v>0</v>
      </c>
      <c r="AG54" s="674">
        <f t="shared" si="58"/>
        <v>0</v>
      </c>
      <c r="AH54" s="675">
        <f>IF($M$3&gt;0,TGsh!C52*$M$4%+TGsh!D52*(1-$M$4%),0)</f>
        <v>0</v>
      </c>
      <c r="AI54" s="676">
        <f>IF('Liq-Zoot'!$E$31&gt;0,AK50/1000*J54/'Liq-Zoot'!$E$31,0)</f>
        <v>0</v>
      </c>
      <c r="AJ54" s="677" t="str">
        <f>$AJ$12</f>
        <v>Fact. IP</v>
      </c>
      <c r="AK54" s="678">
        <f>IF(AK52&gt;0,AK53/AK52,0)</f>
        <v>0</v>
      </c>
      <c r="AL54" s="679">
        <f>IF(AL52&gt;0,AL53/AL52,0)</f>
        <v>0</v>
      </c>
      <c r="AM54" s="680" t="str">
        <f>IF(AK54&gt;0,(AK54-AL54)/AL54*100,"")</f>
        <v/>
      </c>
      <c r="AN54" s="505"/>
      <c r="AO54" s="505"/>
      <c r="AP54" s="505"/>
      <c r="AQ54" s="505"/>
      <c r="AR54" s="505"/>
      <c r="AS54" s="545">
        <f t="shared" si="60"/>
        <v>0</v>
      </c>
      <c r="AT54" s="545">
        <f t="shared" si="61"/>
        <v>0</v>
      </c>
      <c r="AU54" s="545">
        <f t="shared" si="62"/>
        <v>0</v>
      </c>
      <c r="AV54" s="505"/>
      <c r="AW54" s="505"/>
      <c r="AX54" s="505"/>
      <c r="AY54" s="505"/>
      <c r="AZ54" s="505"/>
      <c r="BA54" s="505"/>
      <c r="BB54" s="505"/>
      <c r="BC54" s="505"/>
      <c r="BD54" s="505"/>
      <c r="BE54" s="505"/>
      <c r="BF54" s="505"/>
    </row>
    <row r="55" spans="1:58" ht="15.75" customHeight="1" x14ac:dyDescent="0.25">
      <c r="A55" s="802" t="s">
        <v>31</v>
      </c>
      <c r="B55" s="546" t="str">
        <f t="shared" si="38"/>
        <v/>
      </c>
      <c r="C55" s="547">
        <f t="shared" si="64"/>
        <v>50</v>
      </c>
      <c r="D55" s="548"/>
      <c r="E55" s="549"/>
      <c r="F55" s="550"/>
      <c r="G55" s="548"/>
      <c r="H55" s="551">
        <f t="shared" si="0"/>
        <v>0</v>
      </c>
      <c r="I55" s="552">
        <f>IF($Q$1&gt;0,TGsh!E53*$M$4%+TGsh!F53*(1-$M$4%),0)</f>
        <v>0</v>
      </c>
      <c r="J55" s="553">
        <f t="shared" si="65"/>
        <v>0</v>
      </c>
      <c r="K55" s="554" t="str">
        <f>$K$6</f>
        <v>Item</v>
      </c>
      <c r="L55" s="555" t="str">
        <f>$L$6</f>
        <v>#</v>
      </c>
      <c r="M55" s="555" t="str">
        <f>$M$6</f>
        <v>Real %</v>
      </c>
      <c r="N55" s="556" t="str">
        <f t="shared" ref="N55" si="95">$N$6</f>
        <v>Guia %</v>
      </c>
      <c r="O55" s="682"/>
      <c r="P55" s="561"/>
      <c r="Q55" s="561"/>
      <c r="R55" s="683">
        <f t="shared" si="67"/>
        <v>0</v>
      </c>
      <c r="S55" s="559"/>
      <c r="T55" s="561"/>
      <c r="U55" s="560"/>
      <c r="V55" s="558">
        <f t="shared" si="68"/>
        <v>0</v>
      </c>
      <c r="W55" s="557"/>
      <c r="X55" s="561"/>
      <c r="Y55" s="561"/>
      <c r="Z55" s="558">
        <f t="shared" si="23"/>
        <v>0</v>
      </c>
      <c r="AA55" s="562">
        <f t="shared" si="16"/>
        <v>0</v>
      </c>
      <c r="AB55" s="563">
        <f t="shared" si="55"/>
        <v>0</v>
      </c>
      <c r="AC55" s="564">
        <f t="shared" si="69"/>
        <v>0</v>
      </c>
      <c r="AD55" s="565">
        <f t="shared" si="56"/>
        <v>0</v>
      </c>
      <c r="AE55" s="566">
        <f t="shared" si="70"/>
        <v>0</v>
      </c>
      <c r="AF55" s="567">
        <f t="shared" si="57"/>
        <v>0</v>
      </c>
      <c r="AG55" s="568">
        <f t="shared" si="58"/>
        <v>0</v>
      </c>
      <c r="AH55" s="569">
        <f>IF($M$3&gt;0,TGsh!C53*$M$4%+TGsh!D53*(1-$M$4%),0)</f>
        <v>0</v>
      </c>
      <c r="AI55" s="684" t="str">
        <f>$AI$6</f>
        <v>Gr. Obten.</v>
      </c>
      <c r="AJ55" s="571" t="str">
        <f>$AJ$6</f>
        <v>Cons Sem</v>
      </c>
      <c r="AK55" s="572">
        <f>IF((J61+SUM(F55:F61))&gt;0,SUM(AD55:AD61)*40000/(J61+SUM(F55:F61)),0)</f>
        <v>0</v>
      </c>
      <c r="AL55" s="573">
        <f>SUMIF($AD55:$AD61,"&gt;0",AH55:AH61)</f>
        <v>0</v>
      </c>
      <c r="AM55" s="574" t="str">
        <f>IF(AK55&gt;0,(AK55-AL55)/AL55*100,"")</f>
        <v/>
      </c>
      <c r="AN55" s="505"/>
      <c r="AO55" s="505"/>
      <c r="AP55" s="505"/>
      <c r="AQ55" s="505"/>
      <c r="AR55" s="505"/>
      <c r="AS55" s="545">
        <f t="shared" si="60"/>
        <v>0</v>
      </c>
      <c r="AT55" s="545">
        <f t="shared" si="61"/>
        <v>0</v>
      </c>
      <c r="AU55" s="545">
        <f t="shared" si="62"/>
        <v>0</v>
      </c>
      <c r="AV55" s="505"/>
      <c r="AW55" s="505"/>
      <c r="AX55" s="505"/>
      <c r="AY55" s="505"/>
      <c r="AZ55" s="505"/>
      <c r="BA55" s="505"/>
      <c r="BB55" s="505"/>
      <c r="BC55" s="505"/>
      <c r="BD55" s="505"/>
      <c r="BE55" s="505"/>
      <c r="BF55" s="505"/>
    </row>
    <row r="56" spans="1:58" ht="16.5" thickBot="1" x14ac:dyDescent="0.3">
      <c r="A56" s="803"/>
      <c r="B56" s="579" t="str">
        <f t="shared" si="38"/>
        <v/>
      </c>
      <c r="C56" s="580">
        <f t="shared" si="64"/>
        <v>51</v>
      </c>
      <c r="D56" s="581"/>
      <c r="E56" s="582"/>
      <c r="F56" s="583"/>
      <c r="G56" s="581"/>
      <c r="H56" s="584">
        <f t="shared" si="0"/>
        <v>0</v>
      </c>
      <c r="I56" s="685">
        <f>IF($Q$1&gt;0,TGsh!E54*$M$4%+TGsh!F54*(1-$M$4%),0)</f>
        <v>0</v>
      </c>
      <c r="J56" s="586">
        <f t="shared" si="65"/>
        <v>0</v>
      </c>
      <c r="K56" s="686" t="str">
        <f>$K$7</f>
        <v xml:space="preserve">Mort Sem </v>
      </c>
      <c r="L56" s="588">
        <f>SUM(D55:D61)</f>
        <v>0</v>
      </c>
      <c r="M56" s="589">
        <f>IF(J54&gt;0,L56/J54,0)</f>
        <v>0</v>
      </c>
      <c r="N56" s="590">
        <f ca="1">SUM(TGsh!G53:G59)</f>
        <v>0</v>
      </c>
      <c r="O56" s="591"/>
      <c r="P56" s="596"/>
      <c r="Q56" s="596"/>
      <c r="R56" s="616">
        <f t="shared" si="67"/>
        <v>0</v>
      </c>
      <c r="S56" s="594"/>
      <c r="T56" s="596"/>
      <c r="U56" s="595"/>
      <c r="V56" s="593">
        <f t="shared" si="68"/>
        <v>0</v>
      </c>
      <c r="W56" s="592"/>
      <c r="X56" s="596"/>
      <c r="Y56" s="596"/>
      <c r="Z56" s="593">
        <f t="shared" si="23"/>
        <v>0</v>
      </c>
      <c r="AA56" s="597">
        <f t="shared" si="16"/>
        <v>0</v>
      </c>
      <c r="AB56" s="598">
        <f t="shared" si="55"/>
        <v>0</v>
      </c>
      <c r="AC56" s="599">
        <f t="shared" si="69"/>
        <v>0</v>
      </c>
      <c r="AD56" s="600">
        <f t="shared" si="56"/>
        <v>0</v>
      </c>
      <c r="AE56" s="601">
        <f t="shared" si="70"/>
        <v>0</v>
      </c>
      <c r="AF56" s="602">
        <f t="shared" si="57"/>
        <v>0</v>
      </c>
      <c r="AG56" s="603">
        <f t="shared" si="58"/>
        <v>0</v>
      </c>
      <c r="AH56" s="604">
        <f>IF($M$3&gt;0,TGsh!C54*$M$4%+TGsh!D54*(1-$M$4%),0)</f>
        <v>0</v>
      </c>
      <c r="AI56" s="605">
        <f>IF(SUM(AD55:AD61)&gt;0,AVERAGEIF(AD55:AD61,"&gt;0",AG55:AG61),0)</f>
        <v>0</v>
      </c>
      <c r="AJ56" s="606" t="str">
        <f>$AJ$7</f>
        <v>Cons Acum</v>
      </c>
      <c r="AK56" s="607">
        <f>IF((J61+SUM(F$6:F61))&gt;0,SUM(AD$6:AD61)*40000/(J61+SUM(F$6:F61)),0)</f>
        <v>0</v>
      </c>
      <c r="AL56" s="608">
        <f>AL49+AL55</f>
        <v>0</v>
      </c>
      <c r="AM56" s="609" t="str">
        <f>IF(AK55&gt;0,(AK56-AL56)/AL56*100,"")</f>
        <v/>
      </c>
      <c r="AN56" s="505"/>
      <c r="AO56" s="505"/>
      <c r="AP56" s="505"/>
      <c r="AQ56" s="505"/>
      <c r="AR56" s="505"/>
      <c r="AS56" s="545">
        <f t="shared" si="60"/>
        <v>0</v>
      </c>
      <c r="AT56" s="545">
        <f t="shared" si="61"/>
        <v>0</v>
      </c>
      <c r="AU56" s="545">
        <f t="shared" si="62"/>
        <v>0</v>
      </c>
      <c r="AV56" s="505"/>
      <c r="AW56" s="505"/>
      <c r="AX56" s="505"/>
      <c r="AY56" s="505"/>
      <c r="AZ56" s="505"/>
      <c r="BA56" s="505"/>
      <c r="BB56" s="505"/>
      <c r="BC56" s="505"/>
      <c r="BD56" s="505"/>
      <c r="BE56" s="505"/>
      <c r="BF56" s="505"/>
    </row>
    <row r="57" spans="1:58" ht="16.5" thickBot="1" x14ac:dyDescent="0.3">
      <c r="A57" s="803"/>
      <c r="B57" s="579" t="str">
        <f t="shared" si="38"/>
        <v/>
      </c>
      <c r="C57" s="580">
        <f t="shared" si="64"/>
        <v>52</v>
      </c>
      <c r="D57" s="581"/>
      <c r="E57" s="582"/>
      <c r="F57" s="583"/>
      <c r="G57" s="581"/>
      <c r="H57" s="584">
        <f t="shared" si="0"/>
        <v>0</v>
      </c>
      <c r="I57" s="685">
        <f>IF($Q$1&gt;0,TGsh!E55*$M$4%+TGsh!F55*(1-$M$4%),0)</f>
        <v>0</v>
      </c>
      <c r="J57" s="586">
        <f t="shared" si="65"/>
        <v>0</v>
      </c>
      <c r="K57" s="690" t="str">
        <f>$K$8</f>
        <v xml:space="preserve">Sel Sem </v>
      </c>
      <c r="L57" s="613">
        <f>SUM(E55:E61)</f>
        <v>0</v>
      </c>
      <c r="M57" s="614">
        <f>IF(J54&gt;0,L57/J54,0)</f>
        <v>0</v>
      </c>
      <c r="N57" s="615">
        <v>0</v>
      </c>
      <c r="O57" s="591"/>
      <c r="P57" s="596"/>
      <c r="Q57" s="596"/>
      <c r="R57" s="616">
        <f t="shared" si="67"/>
        <v>0</v>
      </c>
      <c r="S57" s="594"/>
      <c r="T57" s="596"/>
      <c r="U57" s="595"/>
      <c r="V57" s="593">
        <f t="shared" si="68"/>
        <v>0</v>
      </c>
      <c r="W57" s="592"/>
      <c r="X57" s="596"/>
      <c r="Y57" s="596"/>
      <c r="Z57" s="593">
        <f t="shared" si="23"/>
        <v>0</v>
      </c>
      <c r="AA57" s="597">
        <f t="shared" si="16"/>
        <v>0</v>
      </c>
      <c r="AB57" s="598">
        <f t="shared" si="55"/>
        <v>0</v>
      </c>
      <c r="AC57" s="599">
        <f t="shared" si="69"/>
        <v>0</v>
      </c>
      <c r="AD57" s="600">
        <f t="shared" si="56"/>
        <v>0</v>
      </c>
      <c r="AE57" s="601">
        <f t="shared" si="70"/>
        <v>0</v>
      </c>
      <c r="AF57" s="602">
        <f t="shared" si="57"/>
        <v>0</v>
      </c>
      <c r="AG57" s="603">
        <f t="shared" si="58"/>
        <v>0</v>
      </c>
      <c r="AH57" s="604">
        <f>IF($M$3&gt;0,TGsh!C55*$M$4%+TGsh!D55*(1-$M$4%),0)</f>
        <v>0</v>
      </c>
      <c r="AI57" s="617" t="str">
        <f>$AI$8</f>
        <v>Gr. Guía</v>
      </c>
      <c r="AJ57" s="618" t="str">
        <f>$AJ$8</f>
        <v>Peso Sem</v>
      </c>
      <c r="AK57" s="695">
        <f>IF(SUM(F55:F61)&gt;0,SUMPRODUCT(F55:F61,H55:H61)/SUM(F55:F61),0)</f>
        <v>0</v>
      </c>
      <c r="AL57" s="620">
        <f>IF($Q$1&gt;0,I61,0)</f>
        <v>0</v>
      </c>
      <c r="AM57" s="621" t="str">
        <f>IF(AK57&gt;0,(AK57-AL57)/AL57*100,"")</f>
        <v/>
      </c>
      <c r="AN57" s="505"/>
      <c r="AO57" s="505"/>
      <c r="AP57" s="505"/>
      <c r="AQ57" s="505"/>
      <c r="AR57" s="505"/>
      <c r="AS57" s="545">
        <f t="shared" si="60"/>
        <v>0</v>
      </c>
      <c r="AT57" s="545">
        <f t="shared" si="61"/>
        <v>0</v>
      </c>
      <c r="AU57" s="545">
        <f t="shared" si="62"/>
        <v>0</v>
      </c>
      <c r="AV57" s="505"/>
      <c r="AW57" s="505"/>
      <c r="AX57" s="505"/>
      <c r="AY57" s="505"/>
      <c r="AZ57" s="505"/>
      <c r="BA57" s="505"/>
      <c r="BB57" s="505"/>
      <c r="BC57" s="505"/>
      <c r="BD57" s="505"/>
      <c r="BE57" s="505"/>
      <c r="BF57" s="505"/>
    </row>
    <row r="58" spans="1:58" ht="15.75" x14ac:dyDescent="0.25">
      <c r="A58" s="803"/>
      <c r="B58" s="579" t="str">
        <f t="shared" si="38"/>
        <v/>
      </c>
      <c r="C58" s="580">
        <f t="shared" si="64"/>
        <v>53</v>
      </c>
      <c r="D58" s="581"/>
      <c r="E58" s="582"/>
      <c r="F58" s="583"/>
      <c r="G58" s="581"/>
      <c r="H58" s="584">
        <f t="shared" si="0"/>
        <v>0</v>
      </c>
      <c r="I58" s="685">
        <f>IF($Q$1&gt;0,TGsh!E56*$M$4%+TGsh!F56*(1-$M$4%),0)</f>
        <v>0</v>
      </c>
      <c r="J58" s="586">
        <f t="shared" si="65"/>
        <v>0</v>
      </c>
      <c r="K58" s="691" t="str">
        <f>$K$9</f>
        <v xml:space="preserve">Mort + Sel Sem </v>
      </c>
      <c r="L58" s="626">
        <f>SUM(L56:L57)</f>
        <v>0</v>
      </c>
      <c r="M58" s="627">
        <f>IF(J54&gt;0,L58/J54,0)</f>
        <v>0</v>
      </c>
      <c r="N58" s="628">
        <f t="shared" ref="N58" ca="1" si="96">SUM(N56:N57)</f>
        <v>0</v>
      </c>
      <c r="O58" s="591"/>
      <c r="P58" s="596"/>
      <c r="Q58" s="596"/>
      <c r="R58" s="616">
        <f t="shared" si="67"/>
        <v>0</v>
      </c>
      <c r="S58" s="594"/>
      <c r="T58" s="596"/>
      <c r="U58" s="595"/>
      <c r="V58" s="593">
        <f t="shared" si="68"/>
        <v>0</v>
      </c>
      <c r="W58" s="592"/>
      <c r="X58" s="596"/>
      <c r="Y58" s="596"/>
      <c r="Z58" s="593">
        <f t="shared" si="23"/>
        <v>0</v>
      </c>
      <c r="AA58" s="597">
        <f t="shared" si="16"/>
        <v>0</v>
      </c>
      <c r="AB58" s="598">
        <f t="shared" si="55"/>
        <v>0</v>
      </c>
      <c r="AC58" s="599">
        <f t="shared" si="69"/>
        <v>0</v>
      </c>
      <c r="AD58" s="600">
        <f t="shared" si="56"/>
        <v>0</v>
      </c>
      <c r="AE58" s="601">
        <f t="shared" si="70"/>
        <v>0</v>
      </c>
      <c r="AF58" s="602">
        <f t="shared" si="57"/>
        <v>0</v>
      </c>
      <c r="AG58" s="603">
        <f t="shared" si="58"/>
        <v>0</v>
      </c>
      <c r="AH58" s="604">
        <f>IF($M$3&gt;0,TGsh!C56*$M$4%+TGsh!D56*(1-$M$4%),0)</f>
        <v>0</v>
      </c>
      <c r="AI58" s="605">
        <f>IF(SUM(AD55:AD61)&gt;0,AVERAGEIF(AD55:AD61,"&gt;0",AH55:AH61),0)</f>
        <v>0</v>
      </c>
      <c r="AJ58" s="629" t="str">
        <f t="shared" ref="AJ58" si="97">AJ51</f>
        <v>Gan Dia</v>
      </c>
      <c r="AK58" s="630">
        <f>IF(AND(AK50&gt;0,AK57&gt;0),(AK57-AK50)/(COUNTIF(AD55:AD61,"&gt;0")),0)</f>
        <v>0</v>
      </c>
      <c r="AL58" s="631">
        <f>IF(AND(AL50&gt;0,AL57&gt;0,COUNTIF(AD55:AD61,"&gt;0")),(AL57-AL50)/COUNTIF(AD55:AD61,"&gt;0"),0)</f>
        <v>0</v>
      </c>
      <c r="AM58" s="632" t="str">
        <f>IF(AK58&gt;0,(AK58-AL58)/AL58*100,"")</f>
        <v/>
      </c>
      <c r="AN58" s="694"/>
      <c r="AO58" s="694"/>
      <c r="AP58" s="505"/>
      <c r="AQ58" s="505"/>
      <c r="AR58" s="505"/>
      <c r="AS58" s="545">
        <f t="shared" si="60"/>
        <v>0</v>
      </c>
      <c r="AT58" s="545">
        <f t="shared" si="61"/>
        <v>0</v>
      </c>
      <c r="AU58" s="545">
        <f t="shared" si="62"/>
        <v>0</v>
      </c>
      <c r="AV58" s="505"/>
      <c r="AW58" s="505"/>
      <c r="AX58" s="505"/>
      <c r="AY58" s="505"/>
      <c r="AZ58" s="505"/>
      <c r="BA58" s="505"/>
      <c r="BB58" s="505"/>
      <c r="BC58" s="505"/>
      <c r="BD58" s="505"/>
      <c r="BE58" s="505"/>
      <c r="BF58" s="505"/>
    </row>
    <row r="59" spans="1:58" ht="15.75" customHeight="1" x14ac:dyDescent="0.25">
      <c r="A59" s="803"/>
      <c r="B59" s="579" t="str">
        <f t="shared" si="38"/>
        <v/>
      </c>
      <c r="C59" s="580">
        <f t="shared" si="64"/>
        <v>54</v>
      </c>
      <c r="D59" s="581"/>
      <c r="E59" s="582"/>
      <c r="F59" s="583"/>
      <c r="G59" s="581"/>
      <c r="H59" s="584">
        <f t="shared" si="0"/>
        <v>0</v>
      </c>
      <c r="I59" s="685">
        <f>IF($Q$1&gt;0,TGsh!E57*$M$4%+TGsh!F57*(1-$M$4%),0)</f>
        <v>0</v>
      </c>
      <c r="J59" s="586">
        <f t="shared" si="65"/>
        <v>0</v>
      </c>
      <c r="K59" s="692" t="str">
        <f>$K$10</f>
        <v xml:space="preserve">Mort Acum </v>
      </c>
      <c r="L59" s="634">
        <f>L56+L52</f>
        <v>0</v>
      </c>
      <c r="M59" s="635">
        <f>IF($M$3&gt;0,L59/$M$3,0)</f>
        <v>0</v>
      </c>
      <c r="N59" s="636">
        <f ca="1">TGsh!H59</f>
        <v>0</v>
      </c>
      <c r="O59" s="591"/>
      <c r="P59" s="596"/>
      <c r="Q59" s="596"/>
      <c r="R59" s="616">
        <f t="shared" si="67"/>
        <v>0</v>
      </c>
      <c r="S59" s="594"/>
      <c r="T59" s="596"/>
      <c r="U59" s="595"/>
      <c r="V59" s="593">
        <f t="shared" si="68"/>
        <v>0</v>
      </c>
      <c r="W59" s="592"/>
      <c r="X59" s="596"/>
      <c r="Y59" s="596"/>
      <c r="Z59" s="593">
        <f t="shared" si="23"/>
        <v>0</v>
      </c>
      <c r="AA59" s="597">
        <f t="shared" si="16"/>
        <v>0</v>
      </c>
      <c r="AB59" s="598">
        <f t="shared" si="55"/>
        <v>0</v>
      </c>
      <c r="AC59" s="599">
        <f t="shared" si="69"/>
        <v>0</v>
      </c>
      <c r="AD59" s="600">
        <f t="shared" si="56"/>
        <v>0</v>
      </c>
      <c r="AE59" s="601">
        <f t="shared" si="70"/>
        <v>0</v>
      </c>
      <c r="AF59" s="602">
        <f t="shared" si="57"/>
        <v>0</v>
      </c>
      <c r="AG59" s="603">
        <f t="shared" si="58"/>
        <v>0</v>
      </c>
      <c r="AH59" s="604">
        <f>IF($M$3&gt;0,TGsh!C57*$M$4%+TGsh!D57*(1-$M$4%),0)</f>
        <v>0</v>
      </c>
      <c r="AI59" s="770" t="s">
        <v>188</v>
      </c>
      <c r="AJ59" s="637" t="str">
        <f>$AJ$10</f>
        <v>Conversión</v>
      </c>
      <c r="AK59" s="638">
        <f>IF(AK57&gt;0,AK56/AK57,0)</f>
        <v>0</v>
      </c>
      <c r="AL59" s="639">
        <f>IF(AL57&gt;0,AL56/AL57,0)</f>
        <v>0</v>
      </c>
      <c r="AM59" s="640" t="str">
        <f>IF(AK57&gt;0,-(AK59-AL59)/AL59*100,"")</f>
        <v/>
      </c>
      <c r="AN59" s="505"/>
      <c r="AO59" s="505"/>
      <c r="AP59" s="505"/>
      <c r="AQ59" s="505"/>
      <c r="AR59" s="505"/>
      <c r="AS59" s="545">
        <f t="shared" si="60"/>
        <v>0</v>
      </c>
      <c r="AT59" s="545">
        <f t="shared" si="61"/>
        <v>0</v>
      </c>
      <c r="AU59" s="545">
        <f t="shared" si="62"/>
        <v>0</v>
      </c>
      <c r="AV59" s="505"/>
      <c r="AW59" s="505"/>
      <c r="AX59" s="505"/>
      <c r="AY59" s="505"/>
      <c r="AZ59" s="505"/>
      <c r="BA59" s="505"/>
      <c r="BB59" s="505"/>
      <c r="BC59" s="505"/>
      <c r="BD59" s="505"/>
      <c r="BE59" s="505"/>
      <c r="BF59" s="505"/>
    </row>
    <row r="60" spans="1:58" ht="15.75" x14ac:dyDescent="0.25">
      <c r="A60" s="803"/>
      <c r="B60" s="579" t="str">
        <f t="shared" si="38"/>
        <v/>
      </c>
      <c r="C60" s="580">
        <f t="shared" si="64"/>
        <v>55</v>
      </c>
      <c r="D60" s="581"/>
      <c r="E60" s="582"/>
      <c r="F60" s="583"/>
      <c r="G60" s="642"/>
      <c r="H60" s="643">
        <f t="shared" si="0"/>
        <v>0</v>
      </c>
      <c r="I60" s="585">
        <f>IF($Q$1&gt;0,TGsh!E58*$M$4%+TGsh!F58*(1-$M$4%),0)</f>
        <v>0</v>
      </c>
      <c r="J60" s="644">
        <f t="shared" si="65"/>
        <v>0</v>
      </c>
      <c r="K60" s="690" t="str">
        <f>$K$11</f>
        <v xml:space="preserve">Sel Acum </v>
      </c>
      <c r="L60" s="613">
        <f>L57+L53</f>
        <v>0</v>
      </c>
      <c r="M60" s="614">
        <f>IF($M$3&gt;0,L60/$M$3,0)</f>
        <v>0</v>
      </c>
      <c r="N60" s="645">
        <f t="shared" ref="N60" si="98">N57+N53</f>
        <v>0</v>
      </c>
      <c r="O60" s="591"/>
      <c r="P60" s="596"/>
      <c r="Q60" s="596"/>
      <c r="R60" s="616">
        <f t="shared" si="67"/>
        <v>0</v>
      </c>
      <c r="S60" s="594"/>
      <c r="T60" s="596"/>
      <c r="U60" s="595"/>
      <c r="V60" s="593">
        <f t="shared" si="68"/>
        <v>0</v>
      </c>
      <c r="W60" s="592"/>
      <c r="X60" s="596"/>
      <c r="Y60" s="596"/>
      <c r="Z60" s="593">
        <f t="shared" si="23"/>
        <v>0</v>
      </c>
      <c r="AA60" s="597">
        <f t="shared" si="16"/>
        <v>0</v>
      </c>
      <c r="AB60" s="598">
        <f t="shared" si="55"/>
        <v>0</v>
      </c>
      <c r="AC60" s="599">
        <f t="shared" si="69"/>
        <v>0</v>
      </c>
      <c r="AD60" s="600">
        <f t="shared" si="56"/>
        <v>0</v>
      </c>
      <c r="AE60" s="601">
        <f t="shared" si="70"/>
        <v>0</v>
      </c>
      <c r="AF60" s="602">
        <f t="shared" si="57"/>
        <v>0</v>
      </c>
      <c r="AG60" s="603">
        <f t="shared" si="58"/>
        <v>0</v>
      </c>
      <c r="AH60" s="604">
        <f>IF($M$3&gt;0,TGsh!C58*$M$4%+TGsh!D58*(1-$M$4%),0)</f>
        <v>0</v>
      </c>
      <c r="AI60" s="771"/>
      <c r="AJ60" s="637" t="str">
        <f>$AJ$11</f>
        <v>Ef. Alim</v>
      </c>
      <c r="AK60" s="646">
        <f>IF(AK59&gt;0,AK57/AK59/10,0)</f>
        <v>0</v>
      </c>
      <c r="AL60" s="647">
        <f>IF(AL59&gt;0,AL57/AL59/10,0)</f>
        <v>0</v>
      </c>
      <c r="AM60" s="640" t="str">
        <f>IF(AK60&gt;0,(AK60-AL60)/AL60*100,"")</f>
        <v/>
      </c>
      <c r="AN60" s="505"/>
      <c r="AO60" s="505"/>
      <c r="AP60" s="505"/>
      <c r="AQ60" s="505"/>
      <c r="AR60" s="505"/>
      <c r="AS60" s="545">
        <f t="shared" si="60"/>
        <v>0</v>
      </c>
      <c r="AT60" s="545">
        <f t="shared" si="61"/>
        <v>0</v>
      </c>
      <c r="AU60" s="545">
        <f t="shared" si="62"/>
        <v>0</v>
      </c>
      <c r="AV60" s="505"/>
      <c r="AW60" s="505"/>
      <c r="AX60" s="505"/>
      <c r="AY60" s="505"/>
      <c r="AZ60" s="505"/>
      <c r="BA60" s="505"/>
      <c r="BB60" s="505"/>
      <c r="BC60" s="505"/>
      <c r="BD60" s="505"/>
      <c r="BE60" s="505"/>
      <c r="BF60" s="505"/>
    </row>
    <row r="61" spans="1:58" ht="16.5" thickBot="1" x14ac:dyDescent="0.3">
      <c r="A61" s="804"/>
      <c r="B61" s="648" t="str">
        <f t="shared" si="38"/>
        <v/>
      </c>
      <c r="C61" s="696">
        <f t="shared" si="64"/>
        <v>56</v>
      </c>
      <c r="D61" s="642"/>
      <c r="E61" s="697"/>
      <c r="F61" s="641"/>
      <c r="G61" s="642"/>
      <c r="H61" s="643">
        <f t="shared" si="0"/>
        <v>0</v>
      </c>
      <c r="I61" s="654">
        <f>IF($Q$1&gt;0,TGsh!E59*$M$4%+TGsh!F59*(1-$M$4%),0)</f>
        <v>0</v>
      </c>
      <c r="J61" s="655">
        <f t="shared" si="65"/>
        <v>0</v>
      </c>
      <c r="K61" s="693" t="str">
        <f>$K$12</f>
        <v xml:space="preserve">Mort + Sel Acum </v>
      </c>
      <c r="L61" s="657">
        <f>L58+L54</f>
        <v>0</v>
      </c>
      <c r="M61" s="658">
        <f>IF($M$3&gt;0,L61/$M$3,0)</f>
        <v>0</v>
      </c>
      <c r="N61" s="659">
        <f t="shared" ref="N61" ca="1" si="99">SUM(N59:N60)</f>
        <v>0</v>
      </c>
      <c r="O61" s="660"/>
      <c r="P61" s="666"/>
      <c r="Q61" s="666"/>
      <c r="R61" s="662">
        <f t="shared" si="67"/>
        <v>0</v>
      </c>
      <c r="S61" s="663"/>
      <c r="T61" s="666"/>
      <c r="U61" s="664"/>
      <c r="V61" s="665">
        <f t="shared" si="68"/>
        <v>0</v>
      </c>
      <c r="W61" s="661"/>
      <c r="X61" s="666"/>
      <c r="Y61" s="666"/>
      <c r="Z61" s="667">
        <f t="shared" si="23"/>
        <v>0</v>
      </c>
      <c r="AA61" s="668">
        <f t="shared" si="16"/>
        <v>0</v>
      </c>
      <c r="AB61" s="669">
        <f t="shared" si="55"/>
        <v>0</v>
      </c>
      <c r="AC61" s="670">
        <f t="shared" si="69"/>
        <v>0</v>
      </c>
      <c r="AD61" s="671">
        <f t="shared" si="56"/>
        <v>0</v>
      </c>
      <c r="AE61" s="672">
        <f t="shared" si="70"/>
        <v>0</v>
      </c>
      <c r="AF61" s="673">
        <f t="shared" si="57"/>
        <v>0</v>
      </c>
      <c r="AG61" s="674">
        <f t="shared" si="58"/>
        <v>0</v>
      </c>
      <c r="AH61" s="675">
        <f>IF($M$3&gt;0,TGsh!C59*$M$4%+TGsh!D59*(1-$M$4%),0)</f>
        <v>0</v>
      </c>
      <c r="AI61" s="676">
        <f>IF('Liq-Zoot'!$E$31&gt;0,AK57/1000*J61/'Liq-Zoot'!$E$31,0)</f>
        <v>0</v>
      </c>
      <c r="AJ61" s="677" t="str">
        <f>$AJ$12</f>
        <v>Fact. IP</v>
      </c>
      <c r="AK61" s="678">
        <f>IF(AK59&gt;0,AK60/AK59,0)</f>
        <v>0</v>
      </c>
      <c r="AL61" s="679">
        <f>IF(AL59&gt;0,AL60/AL59,0)</f>
        <v>0</v>
      </c>
      <c r="AM61" s="680" t="str">
        <f>IF(AK61&gt;0,(AK61-AL61)/AL61*100,"")</f>
        <v/>
      </c>
      <c r="AN61" s="505"/>
      <c r="AO61" s="505"/>
      <c r="AP61" s="505"/>
      <c r="AQ61" s="505"/>
      <c r="AR61" s="505"/>
      <c r="AS61" s="545">
        <f t="shared" si="60"/>
        <v>0</v>
      </c>
      <c r="AT61" s="545">
        <f t="shared" si="61"/>
        <v>0</v>
      </c>
      <c r="AU61" s="545">
        <f t="shared" si="62"/>
        <v>0</v>
      </c>
      <c r="AV61" s="505"/>
      <c r="AW61" s="505"/>
      <c r="AX61" s="505"/>
      <c r="AY61" s="505"/>
      <c r="AZ61" s="505"/>
      <c r="BA61" s="505"/>
      <c r="BB61" s="505"/>
      <c r="BC61" s="505"/>
      <c r="BD61" s="505"/>
      <c r="BE61" s="505"/>
      <c r="BF61" s="505"/>
    </row>
    <row r="62" spans="1:58" ht="17.25" thickTop="1" thickBot="1" x14ac:dyDescent="0.3">
      <c r="A62" s="505"/>
      <c r="B62" s="505"/>
      <c r="C62" s="698">
        <f>IF(F62&gt;0,SUMPRODUCT(C6:C61,F6:F61)/F62,0)</f>
        <v>0</v>
      </c>
      <c r="D62" s="756" t="s">
        <v>180</v>
      </c>
      <c r="E62" s="757"/>
      <c r="F62" s="699">
        <f>SUM(F6:F61)</f>
        <v>0</v>
      </c>
      <c r="G62" s="700">
        <f>SUM(G6:G61)</f>
        <v>0</v>
      </c>
      <c r="H62" s="701">
        <f>IF(F62&gt;0,G62/F62*1000,0)</f>
        <v>0</v>
      </c>
      <c r="I62" s="702">
        <f>IF(F62&gt;0,SUMPRODUCT(F6:F61,I6:I61)/F62,0)</f>
        <v>0</v>
      </c>
      <c r="J62" s="505"/>
      <c r="AN62" s="505"/>
      <c r="AO62" s="505"/>
      <c r="AP62" s="505"/>
      <c r="AQ62" s="505"/>
      <c r="AR62" s="505"/>
      <c r="AS62" s="505"/>
      <c r="AT62" s="505"/>
      <c r="AU62" s="505"/>
      <c r="AV62" s="505"/>
      <c r="AW62" s="505"/>
      <c r="AX62" s="505"/>
      <c r="AY62" s="505"/>
      <c r="AZ62" s="505"/>
      <c r="BA62" s="505"/>
      <c r="BB62" s="505"/>
      <c r="BC62" s="505"/>
      <c r="BD62" s="505"/>
      <c r="BE62" s="505"/>
      <c r="BF62" s="505"/>
    </row>
    <row r="63" spans="1:58" x14ac:dyDescent="0.2">
      <c r="A63" s="681"/>
      <c r="B63" s="681"/>
      <c r="C63" s="681"/>
      <c r="I63" s="681"/>
      <c r="J63" s="681"/>
      <c r="K63" s="681"/>
      <c r="L63" s="681"/>
      <c r="M63" s="681"/>
      <c r="N63" s="681"/>
      <c r="O63" s="681"/>
      <c r="P63" s="681"/>
      <c r="Q63" s="681"/>
      <c r="R63" s="681"/>
      <c r="S63" s="681"/>
      <c r="T63" s="681"/>
      <c r="U63" s="681"/>
      <c r="V63" s="681"/>
      <c r="W63" s="681"/>
      <c r="X63" s="681"/>
      <c r="Y63" s="681"/>
    </row>
    <row r="64" spans="1:58" x14ac:dyDescent="0.2">
      <c r="A64" s="681"/>
      <c r="B64" s="681"/>
      <c r="C64" s="681"/>
      <c r="I64" s="681"/>
    </row>
    <row r="65" spans="1:9" x14ac:dyDescent="0.2">
      <c r="A65" s="681"/>
      <c r="B65" s="681"/>
      <c r="C65" s="681"/>
      <c r="I65" s="681"/>
    </row>
    <row r="66" spans="1:9" x14ac:dyDescent="0.2">
      <c r="A66" s="681"/>
      <c r="B66" s="681"/>
      <c r="C66" s="681"/>
      <c r="I66" s="681"/>
    </row>
    <row r="67" spans="1:9" x14ac:dyDescent="0.2">
      <c r="A67" s="681"/>
      <c r="B67" s="681"/>
      <c r="C67" s="681"/>
      <c r="I67" s="681"/>
    </row>
    <row r="68" spans="1:9" x14ac:dyDescent="0.2">
      <c r="A68" s="681"/>
      <c r="B68" s="681"/>
      <c r="C68" s="681"/>
      <c r="I68" s="681"/>
    </row>
    <row r="69" spans="1:9" x14ac:dyDescent="0.2">
      <c r="A69" s="681"/>
      <c r="B69" s="681"/>
      <c r="C69" s="681"/>
      <c r="I69" s="681"/>
    </row>
    <row r="70" spans="1:9" x14ac:dyDescent="0.2">
      <c r="A70" s="681"/>
      <c r="B70" s="681"/>
      <c r="C70" s="681"/>
      <c r="I70" s="681"/>
    </row>
    <row r="71" spans="1:9" x14ac:dyDescent="0.2">
      <c r="A71" s="681"/>
      <c r="B71" s="681"/>
      <c r="C71" s="681"/>
      <c r="I71" s="681"/>
    </row>
    <row r="72" spans="1:9" x14ac:dyDescent="0.2">
      <c r="A72" s="681"/>
      <c r="B72" s="681"/>
      <c r="C72" s="681"/>
      <c r="I72" s="681"/>
    </row>
    <row r="73" spans="1:9" x14ac:dyDescent="0.2">
      <c r="A73" s="681"/>
      <c r="B73" s="681"/>
      <c r="C73" s="681"/>
      <c r="D73" s="681"/>
      <c r="E73" s="681"/>
      <c r="F73" s="681"/>
      <c r="G73" s="681"/>
      <c r="H73" s="681"/>
      <c r="I73" s="681"/>
    </row>
    <row r="74" spans="1:9" x14ac:dyDescent="0.2">
      <c r="A74" s="681"/>
      <c r="B74" s="681"/>
      <c r="C74" s="681"/>
      <c r="D74" s="681"/>
      <c r="E74" s="681"/>
      <c r="F74" s="681"/>
      <c r="G74" s="681"/>
      <c r="H74" s="681"/>
      <c r="I74" s="681"/>
    </row>
    <row r="75" spans="1:9" x14ac:dyDescent="0.2">
      <c r="A75" s="681"/>
      <c r="B75" s="681"/>
      <c r="C75" s="681"/>
      <c r="D75" s="681"/>
      <c r="E75" s="681"/>
      <c r="F75" s="681"/>
      <c r="G75" s="681"/>
      <c r="H75" s="681"/>
      <c r="I75" s="681"/>
    </row>
    <row r="76" spans="1:9" x14ac:dyDescent="0.2">
      <c r="A76" s="681"/>
      <c r="B76" s="681"/>
      <c r="C76" s="681"/>
      <c r="D76" s="681"/>
      <c r="E76" s="681"/>
      <c r="F76" s="681"/>
      <c r="G76" s="681"/>
      <c r="H76" s="681"/>
      <c r="I76" s="681"/>
    </row>
    <row r="77" spans="1:9" x14ac:dyDescent="0.2">
      <c r="A77" s="681"/>
      <c r="B77" s="681"/>
      <c r="C77" s="681"/>
      <c r="D77" s="681"/>
      <c r="E77" s="681"/>
      <c r="F77" s="681"/>
      <c r="G77" s="681"/>
      <c r="H77" s="681"/>
      <c r="I77" s="681"/>
    </row>
    <row r="78" spans="1:9" x14ac:dyDescent="0.2">
      <c r="A78" s="681"/>
      <c r="B78" s="681"/>
      <c r="C78" s="681"/>
      <c r="D78" s="681"/>
      <c r="E78" s="681"/>
      <c r="F78" s="681"/>
      <c r="G78" s="681"/>
      <c r="H78" s="681"/>
      <c r="I78" s="681"/>
    </row>
    <row r="79" spans="1:9" x14ac:dyDescent="0.2">
      <c r="A79" s="681"/>
      <c r="B79" s="681"/>
      <c r="C79" s="681"/>
      <c r="D79" s="681"/>
      <c r="E79" s="681"/>
      <c r="F79" s="681"/>
      <c r="G79" s="681"/>
      <c r="H79" s="681"/>
      <c r="I79" s="681"/>
    </row>
    <row r="80" spans="1:9" x14ac:dyDescent="0.2">
      <c r="A80" s="681"/>
      <c r="B80" s="681"/>
      <c r="C80" s="681"/>
      <c r="D80" s="681"/>
      <c r="E80" s="681"/>
      <c r="F80" s="681"/>
      <c r="G80" s="681"/>
      <c r="H80" s="681"/>
      <c r="I80" s="681"/>
    </row>
    <row r="81" spans="1:27" x14ac:dyDescent="0.2">
      <c r="A81" s="681"/>
      <c r="B81" s="681"/>
      <c r="C81" s="681"/>
      <c r="D81" s="681"/>
      <c r="E81" s="681"/>
      <c r="F81" s="681"/>
      <c r="G81" s="681"/>
      <c r="H81" s="681"/>
      <c r="I81" s="681"/>
    </row>
    <row r="82" spans="1:27" x14ac:dyDescent="0.2">
      <c r="A82" s="681"/>
      <c r="B82" s="681"/>
      <c r="C82" s="681"/>
      <c r="D82" s="681"/>
      <c r="E82" s="681"/>
      <c r="F82" s="681"/>
      <c r="G82" s="681"/>
      <c r="H82" s="681"/>
      <c r="I82" s="681"/>
    </row>
    <row r="83" spans="1:27" x14ac:dyDescent="0.2">
      <c r="A83" s="681"/>
      <c r="B83" s="681"/>
      <c r="C83" s="681"/>
      <c r="D83" s="681"/>
      <c r="E83" s="681"/>
      <c r="F83" s="681"/>
      <c r="G83" s="681"/>
      <c r="H83" s="681"/>
      <c r="I83" s="681"/>
    </row>
    <row r="84" spans="1:27" x14ac:dyDescent="0.2">
      <c r="A84" s="681"/>
      <c r="B84" s="681"/>
      <c r="C84" s="681"/>
      <c r="D84" s="681"/>
      <c r="E84" s="681"/>
      <c r="F84" s="681"/>
      <c r="G84" s="681"/>
      <c r="H84" s="681"/>
      <c r="I84" s="681"/>
    </row>
    <row r="85" spans="1:27" x14ac:dyDescent="0.2">
      <c r="A85" s="681"/>
      <c r="B85" s="681"/>
      <c r="C85" s="681"/>
      <c r="D85" s="681"/>
      <c r="E85" s="681"/>
      <c r="F85" s="681"/>
      <c r="G85" s="681"/>
      <c r="H85" s="681"/>
      <c r="I85" s="681"/>
    </row>
    <row r="86" spans="1:27" x14ac:dyDescent="0.2">
      <c r="A86" s="681"/>
      <c r="B86" s="681"/>
      <c r="C86" s="681"/>
      <c r="D86" s="681"/>
      <c r="E86" s="681"/>
      <c r="F86" s="681"/>
      <c r="G86" s="681"/>
      <c r="H86" s="681"/>
      <c r="I86" s="681"/>
    </row>
    <row r="87" spans="1:27" x14ac:dyDescent="0.2">
      <c r="A87" s="681"/>
      <c r="B87" s="681"/>
      <c r="C87" s="681"/>
      <c r="D87" s="681"/>
      <c r="E87" s="681"/>
      <c r="F87" s="681"/>
      <c r="G87" s="681"/>
      <c r="H87" s="681"/>
      <c r="I87" s="681"/>
    </row>
    <row r="88" spans="1:27" x14ac:dyDescent="0.2">
      <c r="A88" s="681"/>
      <c r="B88" s="681"/>
      <c r="C88" s="681"/>
      <c r="D88" s="681"/>
      <c r="E88" s="681"/>
      <c r="F88" s="681"/>
      <c r="G88" s="681"/>
      <c r="H88" s="681"/>
      <c r="I88" s="681"/>
    </row>
    <row r="89" spans="1:27" x14ac:dyDescent="0.2">
      <c r="A89" s="681"/>
      <c r="B89" s="681"/>
      <c r="C89" s="681"/>
      <c r="D89" s="681"/>
      <c r="E89" s="681"/>
      <c r="F89" s="681"/>
      <c r="G89" s="681"/>
      <c r="H89" s="681"/>
      <c r="I89" s="681"/>
    </row>
    <row r="90" spans="1:27" x14ac:dyDescent="0.2">
      <c r="A90" s="681"/>
      <c r="B90" s="681"/>
      <c r="C90" s="681"/>
      <c r="D90" s="681"/>
      <c r="E90" s="681"/>
      <c r="F90" s="681"/>
      <c r="G90" s="681"/>
      <c r="H90" s="681"/>
      <c r="I90" s="681"/>
    </row>
    <row r="91" spans="1:27" x14ac:dyDescent="0.2">
      <c r="A91" s="681"/>
      <c r="B91" s="681"/>
      <c r="C91" s="681"/>
      <c r="D91" s="681"/>
      <c r="E91" s="681"/>
      <c r="F91" s="681"/>
      <c r="G91" s="681"/>
      <c r="H91" s="681"/>
      <c r="I91" s="681"/>
    </row>
    <row r="92" spans="1:27" x14ac:dyDescent="0.2">
      <c r="A92" s="681"/>
      <c r="B92" s="681"/>
      <c r="C92" s="681"/>
      <c r="D92" s="681"/>
      <c r="E92" s="681"/>
      <c r="F92" s="681"/>
      <c r="G92" s="681"/>
      <c r="H92" s="681"/>
      <c r="I92" s="681"/>
    </row>
    <row r="93" spans="1:27" x14ac:dyDescent="0.2">
      <c r="A93" s="681"/>
      <c r="B93" s="681"/>
      <c r="C93" s="681"/>
      <c r="D93" s="681"/>
      <c r="E93" s="681"/>
      <c r="F93" s="681"/>
      <c r="G93" s="681"/>
      <c r="H93" s="681"/>
      <c r="I93" s="681"/>
    </row>
    <row r="94" spans="1:27" x14ac:dyDescent="0.2">
      <c r="A94" s="681"/>
      <c r="B94" s="681"/>
      <c r="C94" s="681"/>
      <c r="D94" s="681"/>
      <c r="E94" s="681"/>
      <c r="F94" s="681"/>
      <c r="G94" s="681"/>
      <c r="H94" s="681"/>
      <c r="I94" s="681"/>
    </row>
    <row r="95" spans="1:27" ht="15.75" thickBot="1" x14ac:dyDescent="0.25">
      <c r="A95" s="681"/>
      <c r="B95" s="681"/>
      <c r="C95" s="681"/>
      <c r="D95" s="681"/>
      <c r="E95" s="681"/>
      <c r="F95" s="681"/>
      <c r="G95" s="681"/>
      <c r="H95" s="681"/>
      <c r="I95" s="681"/>
    </row>
    <row r="96" spans="1:27" x14ac:dyDescent="0.2">
      <c r="K96" s="505"/>
      <c r="L96" s="703"/>
      <c r="M96" s="703"/>
      <c r="N96" s="703"/>
      <c r="O96" s="703"/>
      <c r="P96" s="703"/>
      <c r="Q96" s="505"/>
      <c r="R96" s="813"/>
      <c r="S96" s="813"/>
      <c r="T96" s="813"/>
      <c r="U96" s="505"/>
      <c r="V96" s="505"/>
      <c r="W96" s="505"/>
      <c r="X96" s="505"/>
      <c r="Y96" s="505"/>
      <c r="Z96" s="505"/>
      <c r="AA96" s="505"/>
    </row>
    <row r="97" spans="11:27" x14ac:dyDescent="0.2">
      <c r="K97" s="704"/>
      <c r="L97" s="704"/>
      <c r="M97" s="704"/>
      <c r="N97" s="704"/>
      <c r="O97" s="704"/>
      <c r="P97" s="704"/>
      <c r="Q97" s="704"/>
      <c r="R97" s="704"/>
      <c r="S97" s="704"/>
      <c r="T97" s="704"/>
      <c r="U97" s="704"/>
      <c r="V97" s="704"/>
      <c r="W97" s="704"/>
      <c r="X97" s="704"/>
      <c r="Y97" s="704"/>
      <c r="Z97" s="704"/>
      <c r="AA97" s="704"/>
    </row>
    <row r="98" spans="11:27" x14ac:dyDescent="0.2">
      <c r="K98" s="505"/>
      <c r="L98" s="505"/>
      <c r="M98" s="505"/>
      <c r="N98" s="505"/>
      <c r="O98" s="505"/>
      <c r="P98" s="505"/>
      <c r="Q98" s="505"/>
      <c r="R98" s="505"/>
      <c r="S98" s="505"/>
      <c r="T98" s="704"/>
      <c r="U98" s="704"/>
      <c r="V98" s="704"/>
      <c r="W98" s="704"/>
      <c r="X98" s="505"/>
      <c r="Y98" s="505"/>
      <c r="Z98" s="505"/>
      <c r="AA98" s="505"/>
    </row>
    <row r="99" spans="11:27" x14ac:dyDescent="0.2">
      <c r="K99" s="505"/>
      <c r="L99" s="505"/>
      <c r="M99" s="505"/>
      <c r="N99" s="505"/>
      <c r="O99" s="505"/>
      <c r="P99" s="505"/>
      <c r="Q99" s="505"/>
      <c r="R99" s="505"/>
      <c r="S99" s="505"/>
      <c r="T99" s="704"/>
      <c r="U99" s="704"/>
      <c r="V99" s="704"/>
      <c r="W99" s="704"/>
      <c r="X99" s="505"/>
      <c r="Y99" s="505"/>
      <c r="Z99" s="704"/>
      <c r="AA99" s="505"/>
    </row>
    <row r="100" spans="11:27" x14ac:dyDescent="0.2">
      <c r="O100" s="681"/>
      <c r="P100" s="681"/>
      <c r="Q100" s="681"/>
      <c r="R100" s="681"/>
      <c r="S100" s="681"/>
      <c r="T100" s="681"/>
      <c r="U100" s="681"/>
      <c r="V100" s="681"/>
      <c r="W100" s="681"/>
    </row>
    <row r="101" spans="11:27" x14ac:dyDescent="0.2">
      <c r="O101" s="681"/>
      <c r="P101" s="681"/>
      <c r="Q101" s="681"/>
      <c r="R101" s="681"/>
      <c r="S101" s="681"/>
      <c r="T101" s="681"/>
      <c r="U101" s="681"/>
      <c r="V101" s="681"/>
      <c r="W101" s="681"/>
    </row>
    <row r="102" spans="11:27" x14ac:dyDescent="0.2">
      <c r="O102" s="681"/>
      <c r="P102" s="681"/>
      <c r="Q102" s="681"/>
      <c r="R102" s="681"/>
      <c r="S102" s="681"/>
      <c r="T102" s="681"/>
      <c r="U102" s="681"/>
      <c r="V102" s="681"/>
      <c r="W102" s="681"/>
    </row>
    <row r="103" spans="11:27" x14ac:dyDescent="0.2">
      <c r="O103" s="681"/>
      <c r="P103" s="681"/>
      <c r="Q103" s="681"/>
      <c r="R103" s="681"/>
      <c r="S103" s="681"/>
      <c r="T103" s="681"/>
      <c r="U103" s="681"/>
      <c r="V103" s="681"/>
      <c r="W103" s="681"/>
    </row>
    <row r="104" spans="11:27" x14ac:dyDescent="0.2">
      <c r="O104" s="681"/>
      <c r="P104" s="681"/>
      <c r="Q104" s="681"/>
      <c r="R104" s="681"/>
      <c r="S104" s="681"/>
      <c r="T104" s="681"/>
      <c r="U104" s="681"/>
      <c r="V104" s="681"/>
      <c r="W104" s="681"/>
    </row>
    <row r="105" spans="11:27" x14ac:dyDescent="0.2">
      <c r="O105" s="681"/>
      <c r="P105" s="681"/>
      <c r="Q105" s="681"/>
      <c r="R105" s="681"/>
      <c r="S105" s="681"/>
      <c r="T105" s="681"/>
      <c r="U105" s="681"/>
      <c r="V105" s="681"/>
      <c r="W105" s="681"/>
    </row>
    <row r="106" spans="11:27" x14ac:dyDescent="0.2">
      <c r="O106" s="681"/>
      <c r="P106" s="681"/>
      <c r="Q106" s="681"/>
      <c r="R106" s="681"/>
      <c r="S106" s="681"/>
      <c r="T106" s="681"/>
      <c r="U106" s="681"/>
      <c r="V106" s="681"/>
      <c r="W106" s="681"/>
    </row>
    <row r="107" spans="11:27" x14ac:dyDescent="0.2">
      <c r="O107" s="681"/>
      <c r="P107" s="681"/>
      <c r="Q107" s="681"/>
      <c r="R107" s="681"/>
      <c r="S107" s="681"/>
      <c r="T107" s="681"/>
      <c r="U107" s="681"/>
      <c r="V107" s="681"/>
      <c r="W107" s="681"/>
    </row>
    <row r="108" spans="11:27" x14ac:dyDescent="0.2">
      <c r="O108" s="681"/>
      <c r="P108" s="681"/>
      <c r="Q108" s="681"/>
      <c r="R108" s="681"/>
      <c r="S108" s="681"/>
      <c r="T108" s="681"/>
      <c r="U108" s="681"/>
      <c r="V108" s="681"/>
      <c r="W108" s="681"/>
    </row>
    <row r="109" spans="11:27" x14ac:dyDescent="0.2">
      <c r="O109" s="681"/>
      <c r="P109" s="681"/>
      <c r="Q109" s="681"/>
      <c r="R109" s="681"/>
      <c r="S109" s="681"/>
      <c r="T109" s="681"/>
      <c r="U109" s="681"/>
      <c r="V109" s="681"/>
      <c r="W109" s="681"/>
    </row>
    <row r="110" spans="11:27" x14ac:dyDescent="0.2">
      <c r="O110" s="681"/>
      <c r="P110" s="681"/>
      <c r="Q110" s="681"/>
      <c r="R110" s="681"/>
      <c r="S110" s="681"/>
      <c r="T110" s="681"/>
      <c r="U110" s="681"/>
      <c r="V110" s="681"/>
      <c r="W110" s="681"/>
    </row>
    <row r="111" spans="11:27" x14ac:dyDescent="0.2">
      <c r="O111" s="681"/>
      <c r="P111" s="681"/>
      <c r="Q111" s="681"/>
      <c r="R111" s="681"/>
      <c r="S111" s="681"/>
      <c r="T111" s="681"/>
      <c r="U111" s="681"/>
      <c r="V111" s="681"/>
      <c r="W111" s="681"/>
    </row>
    <row r="112" spans="11:27" x14ac:dyDescent="0.2">
      <c r="O112" s="681"/>
      <c r="P112" s="681"/>
      <c r="Q112" s="681"/>
      <c r="R112" s="681"/>
      <c r="S112" s="681"/>
      <c r="T112" s="681"/>
      <c r="U112" s="681"/>
      <c r="V112" s="681"/>
      <c r="W112" s="681"/>
    </row>
    <row r="113" spans="16:25" x14ac:dyDescent="0.2">
      <c r="P113" s="681"/>
      <c r="Q113" s="681"/>
      <c r="R113" s="681"/>
      <c r="S113" s="681"/>
      <c r="T113" s="681"/>
      <c r="U113" s="681"/>
      <c r="V113" s="681"/>
      <c r="W113" s="681"/>
    </row>
    <row r="114" spans="16:25" x14ac:dyDescent="0.2">
      <c r="P114" s="681"/>
      <c r="Q114" s="681"/>
      <c r="R114" s="681"/>
      <c r="S114" s="681"/>
      <c r="T114" s="681"/>
      <c r="U114" s="681"/>
      <c r="V114" s="681"/>
      <c r="W114" s="681"/>
      <c r="X114" s="681"/>
      <c r="Y114" s="681"/>
    </row>
  </sheetData>
  <sheetProtection algorithmName="SHA-512" hashValue="Zukjrj/AerGdZ7a1NVkxftXiKgaruJhp8ydA72yqwg2O2xZGhvT8GQ1GSm+5ObUVKVs8YT0971rkI+hl4rR5dg==" saltValue="BV7K66bgbC9oafgDyXIBNQ==" spinCount="100000" sheet="1" formatCells="0" formatColumns="0" formatRows="0" sort="0" autoFilter="0"/>
  <autoFilter ref="B5:B61" xr:uid="{00000000-0009-0000-0000-000001000000}"/>
  <mergeCells count="67">
    <mergeCell ref="K2:L2"/>
    <mergeCell ref="AD3:AF3"/>
    <mergeCell ref="AA2:AB2"/>
    <mergeCell ref="AD2:AF2"/>
    <mergeCell ref="S2:T2"/>
    <mergeCell ref="M1:N1"/>
    <mergeCell ref="M2:N2"/>
    <mergeCell ref="M3:N3"/>
    <mergeCell ref="Y4:Z4"/>
    <mergeCell ref="AA4:AH4"/>
    <mergeCell ref="U2:V2"/>
    <mergeCell ref="M4:N4"/>
    <mergeCell ref="R96:T96"/>
    <mergeCell ref="A6:A12"/>
    <mergeCell ref="Q4:R4"/>
    <mergeCell ref="S3:V3"/>
    <mergeCell ref="S4:T4"/>
    <mergeCell ref="U4:V4"/>
    <mergeCell ref="A13:A19"/>
    <mergeCell ref="A55:A61"/>
    <mergeCell ref="O3:R3"/>
    <mergeCell ref="O4:P4"/>
    <mergeCell ref="K5:N5"/>
    <mergeCell ref="A27:A33"/>
    <mergeCell ref="A1:C4"/>
    <mergeCell ref="K4:L4"/>
    <mergeCell ref="K1:L1"/>
    <mergeCell ref="O1:P1"/>
    <mergeCell ref="AI17:AI18"/>
    <mergeCell ref="AG2:AI2"/>
    <mergeCell ref="AG3:AI3"/>
    <mergeCell ref="A20:A26"/>
    <mergeCell ref="AI52:AI53"/>
    <mergeCell ref="A41:A47"/>
    <mergeCell ref="A48:A54"/>
    <mergeCell ref="A34:A40"/>
    <mergeCell ref="AI38:AI39"/>
    <mergeCell ref="AI45:AI46"/>
    <mergeCell ref="AI31:AI32"/>
    <mergeCell ref="AI24:AI25"/>
    <mergeCell ref="E4:F4"/>
    <mergeCell ref="AA3:AB3"/>
    <mergeCell ref="W4:X4"/>
    <mergeCell ref="K3:L3"/>
    <mergeCell ref="AI59:AI60"/>
    <mergeCell ref="AI4:AM4"/>
    <mergeCell ref="AG1:AI1"/>
    <mergeCell ref="W2:X2"/>
    <mergeCell ref="O2:P2"/>
    <mergeCell ref="Q1:R1"/>
    <mergeCell ref="W3:Z3"/>
    <mergeCell ref="U1:V1"/>
    <mergeCell ref="Q2:R2"/>
    <mergeCell ref="S1:T1"/>
    <mergeCell ref="AA1:AB1"/>
    <mergeCell ref="AD1:AF1"/>
    <mergeCell ref="W1:X1"/>
    <mergeCell ref="Y1:Z1"/>
    <mergeCell ref="Y2:Z2"/>
    <mergeCell ref="AI10:AI11"/>
    <mergeCell ref="D62:E62"/>
    <mergeCell ref="D1:G1"/>
    <mergeCell ref="D2:G2"/>
    <mergeCell ref="D3:G3"/>
    <mergeCell ref="H1:J1"/>
    <mergeCell ref="H2:J2"/>
    <mergeCell ref="H3:J3"/>
  </mergeCells>
  <conditionalFormatting sqref="B6:AH61">
    <cfRule type="expression" dxfId="19" priority="1">
      <formula>AND($C6/7=INT($C6/7))</formula>
    </cfRule>
  </conditionalFormatting>
  <conditionalFormatting sqref="L6:M61">
    <cfRule type="expression" dxfId="18" priority="34">
      <formula>AND($M6&gt;$N6)</formula>
    </cfRule>
  </conditionalFormatting>
  <conditionalFormatting sqref="AG6:AG61">
    <cfRule type="expression" dxfId="17" priority="36">
      <formula>AND($AG6&lt;$AH6*0.95,$AG6&gt;0)</formula>
    </cfRule>
  </conditionalFormatting>
  <dataValidations count="5">
    <dataValidation type="list" allowBlank="1" showInputMessage="1" showErrorMessage="1" sqref="Q2:R2" xr:uid="{00000000-0002-0000-0100-000000000000}">
      <formula1>RAZAS</formula1>
    </dataValidation>
    <dataValidation type="list" allowBlank="1" showInputMessage="1" showErrorMessage="1" sqref="P5 T5 X5" xr:uid="{00000000-0002-0000-0100-000001000000}">
      <formula1>"Bulto X 40 K,Kilos"</formula1>
    </dataValidation>
    <dataValidation type="list" allowBlank="1" showInputMessage="1" showErrorMessage="1" sqref="Y1:Z1" xr:uid="{00000000-0002-0000-0100-000002000000}">
      <formula1>"0 - 1000,1001 - 1400,&gt; 1400"</formula1>
    </dataValidation>
    <dataValidation allowBlank="1" showInputMessage="1" showErrorMessage="1" prompt="Digite el CONSUMO de Alimento Diario" sqref="P6:P61 T6:T61 X6:X61" xr:uid="{00000000-0002-0000-0100-000003000000}"/>
    <dataValidation allowBlank="1" showInputMessage="1" showErrorMessage="1" prompt="Digite PESO (Kg) aves vendidas (sin los huacales)" sqref="G6:G61" xr:uid="{00000000-0002-0000-0100-000004000000}"/>
  </dataValidations>
  <printOptions horizontalCentered="1"/>
  <pageMargins left="0.47244094488188981" right="0.51181102362204722" top="0.35433070866141736" bottom="0.35433070866141736" header="0.23622047244094491" footer="0.31496062992125984"/>
  <pageSetup scale="53" fitToWidth="2" orientation="landscape" horizontalDpi="300" verticalDpi="300" r:id="rId1"/>
  <colBreaks count="1" manualBreakCount="1">
    <brk id="39" max="60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BO63"/>
  <sheetViews>
    <sheetView showGridLines="0" showRowColHeaders="0" showZeros="0" zoomScaleNormal="100" zoomScalePageLayoutView="140" workbookViewId="0">
      <pane xSplit="3" ySplit="5" topLeftCell="D6" activePane="bottomRight" state="frozen"/>
      <selection activeCell="N6" sqref="N6"/>
      <selection pane="topRight" activeCell="N6" sqref="N6"/>
      <selection pane="bottomLeft" activeCell="N6" sqref="N6"/>
      <selection pane="bottomRight" activeCell="M1" sqref="M1:N1"/>
    </sheetView>
  </sheetViews>
  <sheetFormatPr baseColWidth="10" defaultColWidth="11" defaultRowHeight="15" x14ac:dyDescent="0.2"/>
  <cols>
    <col min="1" max="1" width="7" style="1" customWidth="1"/>
    <col min="2" max="2" width="15" style="1" customWidth="1"/>
    <col min="3" max="3" width="8" style="1" customWidth="1"/>
    <col min="4" max="4" width="9.6640625" style="1" customWidth="1"/>
    <col min="5" max="5" width="8.33203125" style="1" customWidth="1"/>
    <col min="6" max="6" width="10" style="1" customWidth="1"/>
    <col min="7" max="7" width="10.83203125" style="1" customWidth="1"/>
    <col min="8" max="8" width="12" style="1" customWidth="1"/>
    <col min="9" max="9" width="10.83203125" style="1" customWidth="1"/>
    <col min="10" max="10" width="11.1640625" style="1" bestFit="1" customWidth="1"/>
    <col min="11" max="11" width="18.33203125" style="1" customWidth="1"/>
    <col min="12" max="12" width="7.33203125" style="1" customWidth="1"/>
    <col min="13" max="13" width="8.83203125" style="1" customWidth="1"/>
    <col min="14" max="14" width="9" style="1" customWidth="1"/>
    <col min="15" max="15" width="10.33203125" style="1" customWidth="1"/>
    <col min="16" max="16" width="11.33203125" style="1" customWidth="1"/>
    <col min="17" max="17" width="10.1640625" style="1" customWidth="1"/>
    <col min="18" max="18" width="11.33203125" style="1" customWidth="1"/>
    <col min="19" max="19" width="10.33203125" style="1" customWidth="1"/>
    <col min="20" max="20" width="11.33203125" style="1" customWidth="1"/>
    <col min="21" max="21" width="10.1640625" style="1" customWidth="1"/>
    <col min="22" max="22" width="13" style="1" customWidth="1"/>
    <col min="23" max="23" width="10.33203125" style="1" customWidth="1"/>
    <col min="24" max="24" width="11.33203125" style="1" customWidth="1"/>
    <col min="25" max="25" width="10.1640625" style="1" customWidth="1"/>
    <col min="26" max="26" width="10.6640625" style="1" customWidth="1"/>
    <col min="27" max="27" width="13.83203125" style="1" customWidth="1"/>
    <col min="28" max="28" width="14.6640625" style="1" customWidth="1"/>
    <col min="29" max="29" width="14" style="1" customWidth="1"/>
    <col min="30" max="31" width="11" style="1" customWidth="1"/>
    <col min="32" max="32" width="10.1640625" style="1" customWidth="1"/>
    <col min="33" max="33" width="11.33203125" style="1" customWidth="1"/>
    <col min="34" max="34" width="11.6640625" style="1" customWidth="1"/>
    <col min="35" max="35" width="12.1640625" style="1" customWidth="1"/>
    <col min="36" max="36" width="15.83203125" style="1" customWidth="1"/>
    <col min="37" max="37" width="11" style="1" customWidth="1"/>
    <col min="38" max="38" width="10.1640625" style="1" customWidth="1"/>
    <col min="39" max="39" width="12" style="1" customWidth="1"/>
    <col min="40" max="40" width="7.1640625" style="1" bestFit="1" customWidth="1"/>
    <col min="41" max="41" width="7.1640625" style="1" customWidth="1"/>
    <col min="42" max="42" width="14.1640625" style="1" customWidth="1"/>
    <col min="43" max="43" width="14.33203125" style="1" customWidth="1"/>
    <col min="44" max="44" width="12.83203125" style="1" customWidth="1"/>
    <col min="45" max="45" width="5.6640625" style="1" bestFit="1" customWidth="1"/>
    <col min="46" max="46" width="6.33203125" style="1" bestFit="1" customWidth="1"/>
    <col min="47" max="47" width="7.6640625" style="1" bestFit="1" customWidth="1"/>
    <col min="48" max="48" width="8.83203125" style="1" customWidth="1"/>
    <col min="49" max="49" width="9.1640625" style="1" bestFit="1" customWidth="1"/>
    <col min="50" max="50" width="12.33203125" style="1" bestFit="1" customWidth="1"/>
    <col min="51" max="52" width="7.1640625" style="1" bestFit="1" customWidth="1"/>
    <col min="53" max="16384" width="11" style="1"/>
  </cols>
  <sheetData>
    <row r="1" spans="1:67" ht="15.75" customHeight="1" x14ac:dyDescent="0.25">
      <c r="A1" s="931"/>
      <c r="B1" s="931"/>
      <c r="C1" s="931"/>
      <c r="D1" s="937" t="str">
        <f>'G1'!D1</f>
        <v xml:space="preserve">Empresa / Cliente : </v>
      </c>
      <c r="E1" s="938"/>
      <c r="F1" s="939"/>
      <c r="G1" s="939"/>
      <c r="H1" s="943">
        <f>'G1'!H1</f>
        <v>0</v>
      </c>
      <c r="I1" s="944"/>
      <c r="J1" s="945"/>
      <c r="K1" s="864" t="str">
        <f>'G1'!K1</f>
        <v xml:space="preserve">Machos Recibidos : </v>
      </c>
      <c r="L1" s="865"/>
      <c r="M1" s="902"/>
      <c r="N1" s="903"/>
      <c r="O1" s="916" t="str">
        <f>'G1'!O1</f>
        <v>F. Recepción :</v>
      </c>
      <c r="P1" s="917"/>
      <c r="Q1" s="935">
        <f>'G1'!Q1</f>
        <v>0</v>
      </c>
      <c r="R1" s="936"/>
      <c r="S1" s="916" t="str">
        <f>'G1'!S1</f>
        <v>Peso nac :</v>
      </c>
      <c r="T1" s="917"/>
      <c r="U1" s="876"/>
      <c r="V1" s="877"/>
      <c r="W1" s="916" t="str">
        <f>'G1'!W1</f>
        <v xml:space="preserve">Altura s. n. mar : </v>
      </c>
      <c r="X1" s="917"/>
      <c r="Y1" s="922" t="str">
        <f>IF('G1'!Y1="","",'G1'!Y1)</f>
        <v/>
      </c>
      <c r="Z1" s="923"/>
      <c r="AA1" s="926" t="s">
        <v>167</v>
      </c>
      <c r="AB1" s="927"/>
      <c r="AC1" s="440"/>
      <c r="AD1" s="908" t="str">
        <f>'G1'!AD1</f>
        <v xml:space="preserve">Tipo Galpón : </v>
      </c>
      <c r="AE1" s="909"/>
      <c r="AF1" s="910"/>
      <c r="AG1" s="896"/>
      <c r="AH1" s="896"/>
      <c r="AI1" s="897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</row>
    <row r="2" spans="1:67" s="2" customFormat="1" ht="15.75" customHeight="1" thickBot="1" x14ac:dyDescent="0.3">
      <c r="A2" s="931"/>
      <c r="B2" s="931"/>
      <c r="C2" s="931"/>
      <c r="D2" s="940" t="str">
        <f>'G1'!D2</f>
        <v xml:space="preserve">Nombre de la Granja : </v>
      </c>
      <c r="E2" s="941"/>
      <c r="F2" s="942"/>
      <c r="G2" s="942"/>
      <c r="H2" s="946">
        <f>'G1'!H2</f>
        <v>0</v>
      </c>
      <c r="I2" s="947"/>
      <c r="J2" s="948"/>
      <c r="K2" s="949" t="str">
        <f>'G1'!K2</f>
        <v xml:space="preserve">Hembras Recibidas : </v>
      </c>
      <c r="L2" s="950"/>
      <c r="M2" s="904"/>
      <c r="N2" s="905"/>
      <c r="O2" s="920" t="str">
        <f>'G1'!O2</f>
        <v xml:space="preserve">Guía Cons/Peso : </v>
      </c>
      <c r="P2" s="921"/>
      <c r="Q2" s="878">
        <f>'G1'!Q2</f>
        <v>0</v>
      </c>
      <c r="R2" s="879"/>
      <c r="S2" s="920" t="str">
        <f>'G1'!S2</f>
        <v xml:space="preserve">Sexo : </v>
      </c>
      <c r="T2" s="921"/>
      <c r="U2" s="878" t="str">
        <f>IF(M3&gt;0,IF(M2=0,"MACHO",IF(M1=0,"HEMBRA","MIXTO")),"")</f>
        <v/>
      </c>
      <c r="V2" s="879"/>
      <c r="W2" s="920" t="str">
        <f>'G1'!W2</f>
        <v>Clima :</v>
      </c>
      <c r="X2" s="921"/>
      <c r="Y2" s="918" t="str">
        <f>IF('G1'!Y2="","",'G1'!Y2)</f>
        <v>Cálido</v>
      </c>
      <c r="Z2" s="919"/>
      <c r="AA2" s="859" t="s">
        <v>165</v>
      </c>
      <c r="AB2" s="860"/>
      <c r="AC2" s="441">
        <f>IF(AC1&gt;0,M3/AC1,0)</f>
        <v>0</v>
      </c>
      <c r="AD2" s="911" t="str">
        <f>'G1'!AD2</f>
        <v xml:space="preserve">Tipo Comederos : </v>
      </c>
      <c r="AE2" s="912"/>
      <c r="AF2" s="913"/>
      <c r="AG2" s="898"/>
      <c r="AH2" s="898"/>
      <c r="AI2" s="899"/>
      <c r="AN2" s="353"/>
      <c r="AO2" s="353"/>
      <c r="AP2" s="353"/>
      <c r="AQ2" s="353"/>
      <c r="AR2" s="353"/>
      <c r="AS2" s="353"/>
      <c r="AT2" s="353"/>
      <c r="AU2" s="353"/>
      <c r="AV2" s="353"/>
      <c r="AW2" s="353"/>
      <c r="AX2" s="353"/>
      <c r="AY2" s="353"/>
      <c r="AZ2" s="353"/>
      <c r="BA2" s="353"/>
      <c r="BB2" s="353"/>
      <c r="BC2" s="353"/>
      <c r="BD2" s="353"/>
      <c r="BE2" s="353"/>
      <c r="BF2" s="353"/>
    </row>
    <row r="3" spans="1:67" s="2" customFormat="1" ht="15.75" customHeight="1" thickBot="1" x14ac:dyDescent="0.3">
      <c r="A3" s="931"/>
      <c r="B3" s="931"/>
      <c r="C3" s="931"/>
      <c r="D3" s="940" t="str">
        <f>'G1'!D3</f>
        <v xml:space="preserve">Localización (Municipio/Vereda) : </v>
      </c>
      <c r="E3" s="941"/>
      <c r="F3" s="942"/>
      <c r="G3" s="942"/>
      <c r="H3" s="946">
        <f>'G1'!H3</f>
        <v>0</v>
      </c>
      <c r="I3" s="947"/>
      <c r="J3" s="948"/>
      <c r="K3" s="868" t="str">
        <f>'G1'!K3</f>
        <v xml:space="preserve">Aves Recibidas : </v>
      </c>
      <c r="L3" s="869"/>
      <c r="M3" s="906">
        <f>SUM(M1:N2)</f>
        <v>0</v>
      </c>
      <c r="N3" s="907"/>
      <c r="O3" s="875" t="str">
        <f>'G1'!O3</f>
        <v>Preiniciador Pollito</v>
      </c>
      <c r="P3" s="866"/>
      <c r="Q3" s="866"/>
      <c r="R3" s="866"/>
      <c r="S3" s="872" t="str">
        <f>'G1'!S3</f>
        <v>Iniciador Pollito</v>
      </c>
      <c r="T3" s="873"/>
      <c r="U3" s="873"/>
      <c r="V3" s="874"/>
      <c r="W3" s="866" t="str">
        <f>'G1'!W3</f>
        <v>Pollo Engorde</v>
      </c>
      <c r="X3" s="866"/>
      <c r="Y3" s="866"/>
      <c r="Z3" s="867"/>
      <c r="AA3" s="924" t="str">
        <f>'G1'!AA3</f>
        <v>Temperatura Ext :</v>
      </c>
      <c r="AB3" s="925"/>
      <c r="AC3" s="442"/>
      <c r="AD3" s="914" t="str">
        <f>'G1'!AD3</f>
        <v xml:space="preserve">Tipo Bebederos : </v>
      </c>
      <c r="AE3" s="915"/>
      <c r="AF3" s="915"/>
      <c r="AG3" s="900"/>
      <c r="AH3" s="900"/>
      <c r="AI3" s="901"/>
      <c r="AN3" s="353"/>
      <c r="AO3" s="353"/>
      <c r="AP3" s="353"/>
      <c r="AQ3" s="353"/>
      <c r="AR3" s="353"/>
      <c r="AS3" s="353"/>
      <c r="AT3" s="353"/>
      <c r="AU3" s="353"/>
      <c r="AV3" s="353"/>
      <c r="AW3" s="353"/>
      <c r="AX3" s="353"/>
      <c r="AY3" s="353"/>
      <c r="AZ3" s="353"/>
      <c r="BA3" s="353"/>
      <c r="BB3" s="353"/>
      <c r="BC3" s="353"/>
      <c r="BD3" s="353"/>
      <c r="BE3" s="353"/>
      <c r="BF3" s="353"/>
      <c r="BN3" s="1"/>
      <c r="BO3" s="1"/>
    </row>
    <row r="4" spans="1:67" s="2" customFormat="1" ht="15.75" customHeight="1" thickBot="1" x14ac:dyDescent="0.3">
      <c r="A4" s="932"/>
      <c r="B4" s="932"/>
      <c r="C4" s="932"/>
      <c r="D4" s="447" t="str">
        <f>'G1'!$D$4</f>
        <v xml:space="preserve">Raza : </v>
      </c>
      <c r="E4" s="953">
        <f>'G1'!$E$4</f>
        <v>0</v>
      </c>
      <c r="F4" s="954"/>
      <c r="G4" s="417" t="str">
        <f>'G1'!G4</f>
        <v># Lote :</v>
      </c>
      <c r="H4" s="360" t="str">
        <f>IF('G1'!H4="","",'G1'!H4)</f>
        <v/>
      </c>
      <c r="I4" s="331" t="str">
        <f>'G1'!I4</f>
        <v>Id. Galpón :</v>
      </c>
      <c r="J4" s="270">
        <v>2</v>
      </c>
      <c r="K4" s="870" t="str">
        <f>'G1'!K4</f>
        <v xml:space="preserve">% Machos : </v>
      </c>
      <c r="L4" s="871"/>
      <c r="M4" s="951">
        <f>IF(M3&gt;0,M1/M3*100,0)</f>
        <v>0</v>
      </c>
      <c r="N4" s="952"/>
      <c r="O4" s="886" t="str">
        <f>'G1'!O4</f>
        <v xml:space="preserve">$ / Kilogramo: </v>
      </c>
      <c r="P4" s="881"/>
      <c r="Q4" s="882">
        <f>'G1'!Q4</f>
        <v>0</v>
      </c>
      <c r="R4" s="883"/>
      <c r="S4" s="884" t="str">
        <f>'G1'!S4</f>
        <v xml:space="preserve">$ / Kilogramo: </v>
      </c>
      <c r="T4" s="885"/>
      <c r="U4" s="933">
        <f>'G1'!U4</f>
        <v>0</v>
      </c>
      <c r="V4" s="934"/>
      <c r="W4" s="880" t="str">
        <f>'G1'!W4</f>
        <v xml:space="preserve">$ / Kilogramo: </v>
      </c>
      <c r="X4" s="881"/>
      <c r="Y4" s="883">
        <f>'G1'!Y4</f>
        <v>0</v>
      </c>
      <c r="Z4" s="887"/>
      <c r="AA4" s="888" t="str">
        <f>'G1'!AA4</f>
        <v>Consolidado Alimento / Consumo</v>
      </c>
      <c r="AB4" s="889"/>
      <c r="AC4" s="889"/>
      <c r="AD4" s="889"/>
      <c r="AE4" s="889"/>
      <c r="AF4" s="889"/>
      <c r="AG4" s="889"/>
      <c r="AH4" s="890"/>
      <c r="AI4" s="893" t="str">
        <f>'G1'!AI4</f>
        <v>Indicadores Zootécnicos</v>
      </c>
      <c r="AJ4" s="894"/>
      <c r="AK4" s="894"/>
      <c r="AL4" s="894"/>
      <c r="AM4" s="895"/>
      <c r="AN4" s="353"/>
      <c r="AO4" s="353"/>
      <c r="AP4" s="353"/>
      <c r="AQ4" s="353"/>
      <c r="AR4" s="353"/>
      <c r="AS4" s="353"/>
      <c r="AT4" s="353"/>
      <c r="AU4" s="353"/>
      <c r="AV4" s="353"/>
      <c r="AW4" s="353"/>
      <c r="AX4" s="353"/>
      <c r="AY4" s="353"/>
      <c r="AZ4" s="353"/>
      <c r="BA4" s="353"/>
      <c r="BB4" s="353"/>
      <c r="BC4" s="353"/>
      <c r="BD4" s="353"/>
      <c r="BE4" s="353"/>
      <c r="BF4" s="353"/>
    </row>
    <row r="5" spans="1:67" ht="42" customHeight="1" thickBot="1" x14ac:dyDescent="0.25">
      <c r="A5" s="73" t="str">
        <f>'G1'!A5</f>
        <v xml:space="preserve"> </v>
      </c>
      <c r="B5" s="74" t="str">
        <f>'G1'!B5</f>
        <v>Fecha</v>
      </c>
      <c r="C5" s="373" t="str">
        <f>'G1'!C5</f>
        <v>Edad día</v>
      </c>
      <c r="D5" s="377" t="str">
        <f>'G1'!D5</f>
        <v>Mort</v>
      </c>
      <c r="E5" s="378" t="str">
        <f>'G1'!E5</f>
        <v>Sel</v>
      </c>
      <c r="F5" s="379" t="str">
        <f>'G1'!F5</f>
        <v>Trasl-Venta</v>
      </c>
      <c r="G5" s="414" t="str">
        <f>'G1'!G5</f>
        <v>Peso Total Neto</v>
      </c>
      <c r="H5" s="415" t="str">
        <f>'G1'!H5</f>
        <v>Peso (Gr) Prom.</v>
      </c>
      <c r="I5" s="413" t="str">
        <f>'G1'!I5</f>
        <v>Peso (Gr) Guía</v>
      </c>
      <c r="J5" s="75" t="str">
        <f>'G1'!J5</f>
        <v>Saldo Aves</v>
      </c>
      <c r="K5" s="861" t="str">
        <f>'G1'!K5</f>
        <v>Seguimiento a Mortalidad y Selección</v>
      </c>
      <c r="L5" s="862"/>
      <c r="M5" s="862"/>
      <c r="N5" s="863"/>
      <c r="O5" s="76" t="str">
        <f>'G1'!O5</f>
        <v>Ingreso Bulto X 40 K</v>
      </c>
      <c r="P5" s="445" t="str">
        <f>'G1'!P5</f>
        <v>Kilos</v>
      </c>
      <c r="Q5" s="77" t="str">
        <f>'G1'!Q5</f>
        <v>Traslado Bulto X 40 K</v>
      </c>
      <c r="R5" s="313" t="str">
        <f>'G1'!R5</f>
        <v>Saldo Bulto X 40 K</v>
      </c>
      <c r="S5" s="317" t="str">
        <f>'G1'!S5</f>
        <v>Ingreso Bulto X 40 K</v>
      </c>
      <c r="T5" s="445" t="str">
        <f>'G1'!T5</f>
        <v>Bulto X 40 K</v>
      </c>
      <c r="U5" s="77" t="str">
        <f>'G1'!U5</f>
        <v>Traslado Bulto X 40 K</v>
      </c>
      <c r="V5" s="78" t="str">
        <f>'G1'!V5</f>
        <v>Saldo Bulto X 40 K</v>
      </c>
      <c r="W5" s="85" t="str">
        <f>'G1'!W5</f>
        <v>Ingreso Bulto X 40 K</v>
      </c>
      <c r="X5" s="445" t="str">
        <f>'G1'!X5</f>
        <v>Bulto X 40 K</v>
      </c>
      <c r="Y5" s="77" t="str">
        <f>'G1'!Y5</f>
        <v>Traslado Bulto X 40 K</v>
      </c>
      <c r="Z5" s="78" t="str">
        <f>'G1'!Z5</f>
        <v>Saldo Bulto X 40 K</v>
      </c>
      <c r="AA5" s="361" t="str">
        <f>'G1'!AA5</f>
        <v>T. Ingreso Bulto X 40 K</v>
      </c>
      <c r="AB5" s="362" t="str">
        <f>'G1'!AB5</f>
        <v>T. Traslados Bulto X 40 K</v>
      </c>
      <c r="AC5" s="363" t="str">
        <f>'G1'!AC5</f>
        <v>Total Saldo Bulto X 40 K</v>
      </c>
      <c r="AD5" s="500" t="str">
        <f>'G1'!AD5</f>
        <v>Consumo día Bulto X 40 K</v>
      </c>
      <c r="AE5" s="501" t="str">
        <f>'G1'!AE5</f>
        <v>BULTOS Ac.</v>
      </c>
      <c r="AF5" s="348" t="str">
        <f>'G1'!AF5</f>
        <v>BULTOS Guia</v>
      </c>
      <c r="AG5" s="79" t="str">
        <f>'G1'!AG5</f>
        <v>Cons Ave Dia (Gr.)</v>
      </c>
      <c r="AH5" s="80" t="str">
        <f>'G1'!AH5</f>
        <v>Cons Ave Dia Guia</v>
      </c>
      <c r="AI5" s="81" t="str">
        <f>'G1'!AI5</f>
        <v>Consumo Prom Dia</v>
      </c>
      <c r="AJ5" s="333" t="str">
        <f>'G1'!AJ5</f>
        <v>Parám. Z</v>
      </c>
      <c r="AK5" s="82" t="str">
        <f>'G1'!AK5</f>
        <v>Real</v>
      </c>
      <c r="AL5" s="83" t="str">
        <f>'G1'!AL5</f>
        <v>Guia</v>
      </c>
      <c r="AM5" s="84" t="str">
        <f>'G1'!AM5</f>
        <v>% Cumpl</v>
      </c>
      <c r="AN5" s="50"/>
      <c r="AO5" s="50"/>
      <c r="AP5" s="50"/>
      <c r="AQ5" s="50"/>
      <c r="AR5" s="50"/>
      <c r="AS5" s="72" t="s">
        <v>120</v>
      </c>
      <c r="AT5" s="72" t="s">
        <v>119</v>
      </c>
      <c r="AU5" s="72" t="s">
        <v>118</v>
      </c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</row>
    <row r="6" spans="1:67" ht="16.5" customHeight="1" thickBot="1" x14ac:dyDescent="0.3">
      <c r="A6" s="928" t="s">
        <v>10</v>
      </c>
      <c r="B6" s="52" t="str">
        <f>IF(Q1&gt;0,Q1,"")</f>
        <v/>
      </c>
      <c r="C6" s="374">
        <v>1</v>
      </c>
      <c r="D6" s="392"/>
      <c r="E6" s="393"/>
      <c r="F6" s="394"/>
      <c r="G6" s="392"/>
      <c r="H6" s="403">
        <f t="shared" ref="H6:H61" si="0">IF(F6&gt;0,G6/F6*1000,0)</f>
        <v>0</v>
      </c>
      <c r="I6" s="418">
        <f>IF($Q$1&gt;0,TGsh!E4*$M$4%+TGsh!F4*(1-$M$4%),0)</f>
        <v>0</v>
      </c>
      <c r="J6" s="55">
        <f>M3-SUM(D6:E6)-F6</f>
        <v>0</v>
      </c>
      <c r="K6" s="294" t="str">
        <f>'G1'!K6</f>
        <v>Item</v>
      </c>
      <c r="L6" s="295" t="str">
        <f>'G1'!L6</f>
        <v>#</v>
      </c>
      <c r="M6" s="295" t="str">
        <f>'G1'!M6</f>
        <v>Real %</v>
      </c>
      <c r="N6" s="296" t="str">
        <f>'G1'!N6</f>
        <v>Guia %</v>
      </c>
      <c r="O6" s="305"/>
      <c r="P6" s="305"/>
      <c r="Q6" s="305"/>
      <c r="R6" s="34">
        <f>O6-IF(P$5="Bulto X 40 K",P6,P6/40)-Q6</f>
        <v>0</v>
      </c>
      <c r="S6" s="318"/>
      <c r="T6" s="305"/>
      <c r="U6" s="319"/>
      <c r="V6" s="34">
        <f>S6-IF(T$5="Bulto X 40 K",T6,T6/40)-U6</f>
        <v>0</v>
      </c>
      <c r="W6" s="305"/>
      <c r="X6" s="31"/>
      <c r="Y6" s="31"/>
      <c r="Z6" s="34">
        <f>W6-IF(X$5="Bulto X 40 K",X6,X6/40)-Y6</f>
        <v>0</v>
      </c>
      <c r="AA6" s="364">
        <f>O6+S6+W6</f>
        <v>0</v>
      </c>
      <c r="AB6" s="365">
        <f t="shared" ref="AB6:AB37" si="1">Q6+U6+Y6</f>
        <v>0</v>
      </c>
      <c r="AC6" s="366">
        <f>AA6-AD6-AB6</f>
        <v>0</v>
      </c>
      <c r="AD6" s="325">
        <f t="shared" ref="AD6:AD37" si="2">IF(P$5="Bulto X 40 K",P6,P6/40)+IF(T$5="Bulto X 40 K",T6,T6/40)+IF(X$5="Bulto X 40 K",X6,X6/40)</f>
        <v>0</v>
      </c>
      <c r="AE6" s="326">
        <f>AD6</f>
        <v>0</v>
      </c>
      <c r="AF6" s="349">
        <f t="shared" ref="AF6:AF37" si="3">MROUND(AH6*SUM(D6:F6,J6)/40000,0.1)</f>
        <v>0</v>
      </c>
      <c r="AG6" s="28">
        <f t="shared" ref="AG6:AG37" si="4">IF((J6+F6)&gt;0,AD6*40000/(J6+F6),0)</f>
        <v>0</v>
      </c>
      <c r="AH6" s="46">
        <f>IF($M$3&gt;0,TGsh!C4*$M$4%+TGsh!D4*(1-$M$4%),0)</f>
        <v>0</v>
      </c>
      <c r="AI6" s="334" t="s">
        <v>45</v>
      </c>
      <c r="AJ6" s="335" t="s">
        <v>6</v>
      </c>
      <c r="AK6" s="3">
        <f>IF((J12+SUM(F6:F12))&gt;0,SUM(AD6:AD12)*40000/(J12+SUM(F6:F12)),0)</f>
        <v>0</v>
      </c>
      <c r="AL6" s="41">
        <f>SUMIF($AD6:$AD12,"&gt;0",AH6:AH12)</f>
        <v>0</v>
      </c>
      <c r="AM6" s="336" t="str">
        <f>IF(AK6&gt;0,(AK6-AL6)/AL6*100,"")</f>
        <v/>
      </c>
      <c r="AN6" s="50"/>
      <c r="AO6" s="19" t="s">
        <v>9</v>
      </c>
      <c r="AP6" s="20" t="s">
        <v>24</v>
      </c>
      <c r="AQ6" s="20" t="s">
        <v>25</v>
      </c>
      <c r="AR6" s="21" t="s">
        <v>14</v>
      </c>
      <c r="AS6" s="72">
        <f t="shared" ref="AS6:AS37" si="5">IF(($P6+$T6+$X6)&gt;0,P6/($P6+$T6+$X6),0)</f>
        <v>0</v>
      </c>
      <c r="AT6" s="72">
        <f t="shared" ref="AT6:AT37" si="6">IF(($P6+$T6+$X6)&gt;0,T6/($P6+$T6+$X6),0)</f>
        <v>0</v>
      </c>
      <c r="AU6" s="72">
        <f t="shared" ref="AU6:AU37" si="7">IF(($P6+$T6+$X6)&gt;0,X6/($P6+$T6+$X6),0)</f>
        <v>0</v>
      </c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</row>
    <row r="7" spans="1:67" ht="16.5" thickBot="1" x14ac:dyDescent="0.3">
      <c r="A7" s="929"/>
      <c r="B7" s="53" t="str">
        <f t="shared" ref="B7:B61" si="8">IF(B6="","",B6+1)</f>
        <v/>
      </c>
      <c r="C7" s="375">
        <f t="shared" ref="C7:C38" si="9">C6+1</f>
        <v>2</v>
      </c>
      <c r="D7" s="395"/>
      <c r="E7" s="396"/>
      <c r="F7" s="397"/>
      <c r="G7" s="395"/>
      <c r="H7" s="404">
        <f t="shared" ref="H7:H12" si="10">IF(F7&gt;0,G7/F7*1000,0)</f>
        <v>0</v>
      </c>
      <c r="I7" s="420">
        <f>IF($Q$1&gt;0,TGsh!E5*$M$4%+TGsh!F5*(1-$M$4%),0)</f>
        <v>0</v>
      </c>
      <c r="J7" s="411">
        <f t="shared" ref="J7:J38" si="11">J6-SUM(D7:E7)-F7</f>
        <v>0</v>
      </c>
      <c r="K7" s="275" t="str">
        <f>'G1'!K7</f>
        <v xml:space="preserve">Mort Sem </v>
      </c>
      <c r="L7" s="289">
        <f>SUM(D6:D12)</f>
        <v>0</v>
      </c>
      <c r="M7" s="429">
        <f>IF(M3&gt;0,L7/M3,0)</f>
        <v>0</v>
      </c>
      <c r="N7" s="430">
        <f ca="1">SUM(TGsh!G4:G10)</f>
        <v>0</v>
      </c>
      <c r="O7" s="26"/>
      <c r="P7" s="306"/>
      <c r="Q7" s="306"/>
      <c r="R7" s="35">
        <f t="shared" ref="R7:R38" si="12">R6+O7-IF(P$5="Bulto X 40 K",P7,P7/40)-Q7</f>
        <v>0</v>
      </c>
      <c r="S7" s="320"/>
      <c r="T7" s="306"/>
      <c r="U7" s="321"/>
      <c r="V7" s="35">
        <f>V6+S7-IF(T$5="Bulto X 40 K",T7,T7/40)-U7</f>
        <v>0</v>
      </c>
      <c r="W7" s="306"/>
      <c r="X7" s="32"/>
      <c r="Y7" s="32"/>
      <c r="Z7" s="35">
        <f>Z6+W7-IF(X$5="Bulto X 40 K",X7,X7/40)-Y7</f>
        <v>0</v>
      </c>
      <c r="AA7" s="367">
        <f t="shared" ref="AA7:AA61" si="13">O7+S7+W7</f>
        <v>0</v>
      </c>
      <c r="AB7" s="368">
        <f t="shared" si="1"/>
        <v>0</v>
      </c>
      <c r="AC7" s="369">
        <f t="shared" ref="AC7:AC38" si="14">AC6+AA7-AD7-AB7</f>
        <v>0</v>
      </c>
      <c r="AD7" s="327">
        <f>IF(P$5="Bulto X 40 K",P7,P7/40)+IF(T$5="Bulto X 40 K",T7,T7/40)+IF(X$5="Bulto X 40 K",X7,X7/40)</f>
        <v>0</v>
      </c>
      <c r="AE7" s="328">
        <f t="shared" ref="AE7:AE38" si="15">AE6+AD7</f>
        <v>0</v>
      </c>
      <c r="AF7" s="350">
        <f t="shared" si="3"/>
        <v>0</v>
      </c>
      <c r="AG7" s="29">
        <f t="shared" si="4"/>
        <v>0</v>
      </c>
      <c r="AH7" s="47">
        <f>IF($M$3&gt;0,TGsh!C5*$M$4%+TGsh!D5*(1-$M$4%),0)</f>
        <v>0</v>
      </c>
      <c r="AI7" s="337">
        <f>IF(SUM(AD6:AD12)&gt;0,AVERAGEIF(AD6:AD12,"&gt;0",AG6:AG12),0)</f>
        <v>0</v>
      </c>
      <c r="AJ7" s="338" t="s">
        <v>4</v>
      </c>
      <c r="AK7" s="339">
        <f>IF((J12+SUM(F$6:F12))&gt;0,SUM(AD$6:AD12)*40000/(J12+SUM(F$6:F12)),0)</f>
        <v>0</v>
      </c>
      <c r="AL7" s="340">
        <f>AL6</f>
        <v>0</v>
      </c>
      <c r="AM7" s="341" t="str">
        <f>IF(AK6&gt;0,(AK7-AL7)/AL7*100,"")</f>
        <v/>
      </c>
      <c r="AN7" s="50"/>
      <c r="AO7" s="14">
        <v>1</v>
      </c>
      <c r="AP7" s="3">
        <f>AK6</f>
        <v>0</v>
      </c>
      <c r="AQ7" s="3">
        <f t="shared" ref="AQ7:AR7" si="16">AL6</f>
        <v>0</v>
      </c>
      <c r="AR7" s="15" t="str">
        <f t="shared" si="16"/>
        <v/>
      </c>
      <c r="AS7" s="72">
        <f t="shared" si="5"/>
        <v>0</v>
      </c>
      <c r="AT7" s="72">
        <f t="shared" si="6"/>
        <v>0</v>
      </c>
      <c r="AU7" s="72">
        <f t="shared" si="7"/>
        <v>0</v>
      </c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8" spans="1:67" ht="16.5" thickBot="1" x14ac:dyDescent="0.3">
      <c r="A8" s="929"/>
      <c r="B8" s="53" t="str">
        <f t="shared" si="8"/>
        <v/>
      </c>
      <c r="C8" s="375">
        <f t="shared" si="9"/>
        <v>3</v>
      </c>
      <c r="D8" s="395"/>
      <c r="E8" s="396"/>
      <c r="F8" s="397"/>
      <c r="G8" s="395"/>
      <c r="H8" s="404">
        <f t="shared" si="10"/>
        <v>0</v>
      </c>
      <c r="I8" s="420">
        <f>IF($Q$1&gt;0,TGsh!E6*$M$4%+TGsh!F6*(1-$M$4%),0)</f>
        <v>0</v>
      </c>
      <c r="J8" s="411">
        <f t="shared" si="11"/>
        <v>0</v>
      </c>
      <c r="K8" s="276" t="str">
        <f>'G1'!K8</f>
        <v xml:space="preserve">Sel Sem </v>
      </c>
      <c r="L8" s="290">
        <f>SUM(E6:E12)</f>
        <v>0</v>
      </c>
      <c r="M8" s="431">
        <f>IF(M3&gt;0,L8/M3,0)</f>
        <v>0</v>
      </c>
      <c r="N8" s="432">
        <v>0</v>
      </c>
      <c r="O8" s="26"/>
      <c r="P8" s="306"/>
      <c r="Q8" s="306"/>
      <c r="R8" s="315">
        <f t="shared" si="12"/>
        <v>0</v>
      </c>
      <c r="S8" s="320"/>
      <c r="T8" s="306"/>
      <c r="U8" s="321"/>
      <c r="V8" s="35">
        <f t="shared" ref="V8:V61" si="17">V7+S8-IF(T$5="Bulto X 40 K",T8,T8/40)-U8</f>
        <v>0</v>
      </c>
      <c r="W8" s="306"/>
      <c r="X8" s="32"/>
      <c r="Y8" s="32"/>
      <c r="Z8" s="35">
        <f t="shared" ref="Z8:Z61" si="18">Z7+W8-IF(X$5="Bulto X 40 K",X8,X8/40)-Y8</f>
        <v>0</v>
      </c>
      <c r="AA8" s="367">
        <f t="shared" si="13"/>
        <v>0</v>
      </c>
      <c r="AB8" s="368">
        <f t="shared" si="1"/>
        <v>0</v>
      </c>
      <c r="AC8" s="369">
        <f t="shared" si="14"/>
        <v>0</v>
      </c>
      <c r="AD8" s="327">
        <f t="shared" si="2"/>
        <v>0</v>
      </c>
      <c r="AE8" s="328">
        <f t="shared" si="15"/>
        <v>0</v>
      </c>
      <c r="AF8" s="350">
        <f t="shared" si="3"/>
        <v>0</v>
      </c>
      <c r="AG8" s="29">
        <f t="shared" si="4"/>
        <v>0</v>
      </c>
      <c r="AH8" s="47">
        <f>IF($M$3&gt;0,TGsh!C6*$M$4%+TGsh!D6*(1-$M$4%),0)</f>
        <v>0</v>
      </c>
      <c r="AI8" s="40" t="s">
        <v>44</v>
      </c>
      <c r="AJ8" s="4" t="s">
        <v>1</v>
      </c>
      <c r="AK8" s="24"/>
      <c r="AL8" s="42">
        <f>IF($Q$1&gt;0,I12,0)</f>
        <v>0</v>
      </c>
      <c r="AM8" s="9" t="str">
        <f>IF(AK8&gt;0,(AK8-AL8)/AL8*100,"")</f>
        <v/>
      </c>
      <c r="AN8" s="50"/>
      <c r="AO8" s="16">
        <f>AO7+1</f>
        <v>2</v>
      </c>
      <c r="AP8" s="8">
        <f>AK13</f>
        <v>0</v>
      </c>
      <c r="AQ8" s="8">
        <f t="shared" ref="AQ8:AR8" si="19">AL13</f>
        <v>0</v>
      </c>
      <c r="AR8" s="17" t="str">
        <f t="shared" si="19"/>
        <v/>
      </c>
      <c r="AS8" s="72">
        <f t="shared" si="5"/>
        <v>0</v>
      </c>
      <c r="AT8" s="72">
        <f t="shared" si="6"/>
        <v>0</v>
      </c>
      <c r="AU8" s="72">
        <f t="shared" si="7"/>
        <v>0</v>
      </c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</row>
    <row r="9" spans="1:67" ht="15.75" customHeight="1" x14ac:dyDescent="0.25">
      <c r="A9" s="929"/>
      <c r="B9" s="53" t="str">
        <f t="shared" si="8"/>
        <v/>
      </c>
      <c r="C9" s="375">
        <f t="shared" si="9"/>
        <v>4</v>
      </c>
      <c r="D9" s="395"/>
      <c r="E9" s="396"/>
      <c r="F9" s="397"/>
      <c r="G9" s="395"/>
      <c r="H9" s="404">
        <f t="shared" si="10"/>
        <v>0</v>
      </c>
      <c r="I9" s="420">
        <f>IF($Q$1&gt;0,TGsh!E7*$M$4%+TGsh!F7*(1-$M$4%),0)</f>
        <v>0</v>
      </c>
      <c r="J9" s="411">
        <f t="shared" si="11"/>
        <v>0</v>
      </c>
      <c r="K9" s="277" t="str">
        <f>'G1'!K9</f>
        <v xml:space="preserve">Mort + Sel Sem </v>
      </c>
      <c r="L9" s="291">
        <f>SUM(L7:L8)</f>
        <v>0</v>
      </c>
      <c r="M9" s="433">
        <f>IF(M3&gt;0,L9/M3,0)</f>
        <v>0</v>
      </c>
      <c r="N9" s="434">
        <f ca="1">SUM(N7:N8)</f>
        <v>0</v>
      </c>
      <c r="O9" s="26"/>
      <c r="P9" s="306"/>
      <c r="Q9" s="306"/>
      <c r="R9" s="315">
        <f t="shared" si="12"/>
        <v>0</v>
      </c>
      <c r="S9" s="320"/>
      <c r="T9" s="306"/>
      <c r="U9" s="321"/>
      <c r="V9" s="35">
        <f t="shared" si="17"/>
        <v>0</v>
      </c>
      <c r="W9" s="306"/>
      <c r="X9" s="32"/>
      <c r="Y9" s="32"/>
      <c r="Z9" s="35">
        <f t="shared" si="18"/>
        <v>0</v>
      </c>
      <c r="AA9" s="367">
        <f t="shared" si="13"/>
        <v>0</v>
      </c>
      <c r="AB9" s="368">
        <f t="shared" si="1"/>
        <v>0</v>
      </c>
      <c r="AC9" s="369">
        <f t="shared" si="14"/>
        <v>0</v>
      </c>
      <c r="AD9" s="327">
        <f t="shared" si="2"/>
        <v>0</v>
      </c>
      <c r="AE9" s="328">
        <f t="shared" si="15"/>
        <v>0</v>
      </c>
      <c r="AF9" s="350">
        <f t="shared" si="3"/>
        <v>0</v>
      </c>
      <c r="AG9" s="29">
        <f t="shared" si="4"/>
        <v>0</v>
      </c>
      <c r="AH9" s="47">
        <f>IF($M$3&gt;0,TGsh!C7*$M$4%+TGsh!D7*(1-$M$4%),0)</f>
        <v>0</v>
      </c>
      <c r="AI9" s="337">
        <f>IF(SUM(AD6:AD12)&gt;0,AVERAGEIF(AD6:AD12,"&gt;0",AH6:AH12),0)</f>
        <v>0</v>
      </c>
      <c r="AJ9" s="5" t="s">
        <v>2</v>
      </c>
      <c r="AK9" s="6">
        <f>IF(AND(U1&gt;0,AK8&gt;0),(AK8-U1)/7,0)</f>
        <v>0</v>
      </c>
      <c r="AL9" s="43">
        <f>IF(AL8&gt;0,(AL8-40)/7,0)</f>
        <v>0</v>
      </c>
      <c r="AM9" s="10" t="str">
        <f>IF(AK9&gt;0,(AK9-AL9)/AL9*100,"")</f>
        <v/>
      </c>
      <c r="AN9" s="50"/>
      <c r="AO9" s="16">
        <f t="shared" ref="AO9:AO14" si="20">AO8+1</f>
        <v>3</v>
      </c>
      <c r="AP9" s="8">
        <f>AK20</f>
        <v>0</v>
      </c>
      <c r="AQ9" s="8">
        <f t="shared" ref="AQ9:AR9" si="21">AL20</f>
        <v>0</v>
      </c>
      <c r="AR9" s="17" t="str">
        <f t="shared" si="21"/>
        <v/>
      </c>
      <c r="AS9" s="72">
        <f t="shared" si="5"/>
        <v>0</v>
      </c>
      <c r="AT9" s="72">
        <f t="shared" si="6"/>
        <v>0</v>
      </c>
      <c r="AU9" s="72">
        <f t="shared" si="7"/>
        <v>0</v>
      </c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</row>
    <row r="10" spans="1:67" ht="15.75" customHeight="1" x14ac:dyDescent="0.25">
      <c r="A10" s="929"/>
      <c r="B10" s="53" t="str">
        <f t="shared" si="8"/>
        <v/>
      </c>
      <c r="C10" s="375">
        <f t="shared" si="9"/>
        <v>5</v>
      </c>
      <c r="D10" s="395"/>
      <c r="E10" s="396"/>
      <c r="F10" s="397"/>
      <c r="G10" s="395"/>
      <c r="H10" s="404">
        <f t="shared" si="10"/>
        <v>0</v>
      </c>
      <c r="I10" s="420">
        <f>IF($Q$1&gt;0,TGsh!E8*$M$4%+TGsh!F8*(1-$M$4%),0)</f>
        <v>0</v>
      </c>
      <c r="J10" s="411">
        <f t="shared" si="11"/>
        <v>0</v>
      </c>
      <c r="K10" s="278" t="str">
        <f>'G1'!K10</f>
        <v xml:space="preserve">Mort Acum </v>
      </c>
      <c r="L10" s="292">
        <f>L7</f>
        <v>0</v>
      </c>
      <c r="M10" s="435">
        <f>IF(M3&gt;0,L10/M3,0)</f>
        <v>0</v>
      </c>
      <c r="N10" s="436">
        <f ca="1">TGsh!H10</f>
        <v>0</v>
      </c>
      <c r="O10" s="26"/>
      <c r="P10" s="306"/>
      <c r="Q10" s="306"/>
      <c r="R10" s="315">
        <f t="shared" si="12"/>
        <v>0</v>
      </c>
      <c r="S10" s="320"/>
      <c r="T10" s="306"/>
      <c r="U10" s="321"/>
      <c r="V10" s="35">
        <f t="shared" si="17"/>
        <v>0</v>
      </c>
      <c r="W10" s="306"/>
      <c r="X10" s="32"/>
      <c r="Y10" s="32"/>
      <c r="Z10" s="35">
        <f t="shared" si="18"/>
        <v>0</v>
      </c>
      <c r="AA10" s="367">
        <f t="shared" si="13"/>
        <v>0</v>
      </c>
      <c r="AB10" s="368">
        <f t="shared" si="1"/>
        <v>0</v>
      </c>
      <c r="AC10" s="369">
        <f t="shared" si="14"/>
        <v>0</v>
      </c>
      <c r="AD10" s="327">
        <f t="shared" si="2"/>
        <v>0</v>
      </c>
      <c r="AE10" s="328">
        <f t="shared" si="15"/>
        <v>0</v>
      </c>
      <c r="AF10" s="350">
        <f t="shared" si="3"/>
        <v>0</v>
      </c>
      <c r="AG10" s="29">
        <f t="shared" si="4"/>
        <v>0</v>
      </c>
      <c r="AH10" s="47">
        <f>IF($M$3&gt;0,TGsh!C8*$M$4%+TGsh!D8*(1-$M$4%),0)</f>
        <v>0</v>
      </c>
      <c r="AI10" s="891" t="s">
        <v>46</v>
      </c>
      <c r="AJ10" s="7" t="s">
        <v>3</v>
      </c>
      <c r="AK10" s="13">
        <f>IF(AK8&gt;0,AK7/AK8,0)</f>
        <v>0</v>
      </c>
      <c r="AL10" s="44">
        <f>IF(AL8&gt;0,AL7/AL8,0)</f>
        <v>0</v>
      </c>
      <c r="AM10" s="11" t="str">
        <f>IF(AK8&gt;0,-(AK10-AL10)/AL10*100,"")</f>
        <v/>
      </c>
      <c r="AN10" s="50"/>
      <c r="AO10" s="16">
        <f t="shared" si="20"/>
        <v>4</v>
      </c>
      <c r="AP10" s="8">
        <f>AK27</f>
        <v>0</v>
      </c>
      <c r="AQ10" s="8">
        <f t="shared" ref="AQ10:AR10" si="22">AL27</f>
        <v>0</v>
      </c>
      <c r="AR10" s="17" t="str">
        <f t="shared" si="22"/>
        <v/>
      </c>
      <c r="AS10" s="72">
        <f t="shared" si="5"/>
        <v>0</v>
      </c>
      <c r="AT10" s="72">
        <f t="shared" si="6"/>
        <v>0</v>
      </c>
      <c r="AU10" s="72">
        <f t="shared" si="7"/>
        <v>0</v>
      </c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</row>
    <row r="11" spans="1:67" ht="15.75" x14ac:dyDescent="0.25">
      <c r="A11" s="929"/>
      <c r="B11" s="53" t="str">
        <f t="shared" si="8"/>
        <v/>
      </c>
      <c r="C11" s="375">
        <f t="shared" si="9"/>
        <v>6</v>
      </c>
      <c r="D11" s="395"/>
      <c r="E11" s="396"/>
      <c r="F11" s="399"/>
      <c r="G11" s="409"/>
      <c r="H11" s="405">
        <f t="shared" si="10"/>
        <v>0</v>
      </c>
      <c r="I11" s="420">
        <f>IF($Q$1&gt;0,TGsh!E9*$M$4%+TGsh!F9*(1-$M$4%),0)</f>
        <v>0</v>
      </c>
      <c r="J11" s="412">
        <f t="shared" si="11"/>
        <v>0</v>
      </c>
      <c r="K11" s="276" t="str">
        <f>'G1'!K11</f>
        <v xml:space="preserve">Sel Acum </v>
      </c>
      <c r="L11" s="290">
        <f>L8</f>
        <v>0</v>
      </c>
      <c r="M11" s="431">
        <f>IF(M3&gt;0,L11/M3,0)</f>
        <v>0</v>
      </c>
      <c r="N11" s="437">
        <f>N8</f>
        <v>0</v>
      </c>
      <c r="O11" s="26"/>
      <c r="P11" s="306"/>
      <c r="Q11" s="306"/>
      <c r="R11" s="315">
        <f t="shared" si="12"/>
        <v>0</v>
      </c>
      <c r="S11" s="320"/>
      <c r="T11" s="306"/>
      <c r="U11" s="321"/>
      <c r="V11" s="35">
        <f t="shared" si="17"/>
        <v>0</v>
      </c>
      <c r="W11" s="306"/>
      <c r="X11" s="32"/>
      <c r="Y11" s="32"/>
      <c r="Z11" s="35">
        <f t="shared" si="18"/>
        <v>0</v>
      </c>
      <c r="AA11" s="367">
        <f t="shared" si="13"/>
        <v>0</v>
      </c>
      <c r="AB11" s="368">
        <f t="shared" si="1"/>
        <v>0</v>
      </c>
      <c r="AC11" s="369">
        <f t="shared" si="14"/>
        <v>0</v>
      </c>
      <c r="AD11" s="327">
        <f t="shared" si="2"/>
        <v>0</v>
      </c>
      <c r="AE11" s="328">
        <f t="shared" si="15"/>
        <v>0</v>
      </c>
      <c r="AF11" s="350">
        <f t="shared" si="3"/>
        <v>0</v>
      </c>
      <c r="AG11" s="29">
        <f t="shared" si="4"/>
        <v>0</v>
      </c>
      <c r="AH11" s="47">
        <f>IF($M$3&gt;0,TGsh!C9*$M$4%+TGsh!D9*(1-$M$4%),0)</f>
        <v>0</v>
      </c>
      <c r="AI11" s="892"/>
      <c r="AJ11" s="7" t="s">
        <v>37</v>
      </c>
      <c r="AK11" s="12">
        <f>IF(AK10&gt;0,AK8/AK10/10,0)</f>
        <v>0</v>
      </c>
      <c r="AL11" s="45">
        <f>IF(AL10&gt;0,AL8/AL10/10,0)</f>
        <v>0</v>
      </c>
      <c r="AM11" s="11" t="str">
        <f>IF(AK11&gt;0,(AK11-AL11)/AL11*100,"")</f>
        <v/>
      </c>
      <c r="AN11" s="50"/>
      <c r="AO11" s="16">
        <f t="shared" si="20"/>
        <v>5</v>
      </c>
      <c r="AP11" s="8">
        <f>AK34</f>
        <v>0</v>
      </c>
      <c r="AQ11" s="8">
        <f t="shared" ref="AQ11:AR11" si="23">AL34</f>
        <v>0</v>
      </c>
      <c r="AR11" s="17" t="str">
        <f t="shared" si="23"/>
        <v/>
      </c>
      <c r="AS11" s="72">
        <f t="shared" si="5"/>
        <v>0</v>
      </c>
      <c r="AT11" s="72">
        <f t="shared" si="6"/>
        <v>0</v>
      </c>
      <c r="AU11" s="72">
        <f t="shared" si="7"/>
        <v>0</v>
      </c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</row>
    <row r="12" spans="1:67" ht="16.5" thickBot="1" x14ac:dyDescent="0.3">
      <c r="A12" s="930"/>
      <c r="B12" s="54" t="str">
        <f t="shared" si="8"/>
        <v/>
      </c>
      <c r="C12" s="376">
        <f t="shared" si="9"/>
        <v>7</v>
      </c>
      <c r="D12" s="400"/>
      <c r="E12" s="401"/>
      <c r="F12" s="402"/>
      <c r="G12" s="400"/>
      <c r="H12" s="406">
        <f t="shared" si="10"/>
        <v>0</v>
      </c>
      <c r="I12" s="419">
        <f>IF($Q$1&gt;0,TGsh!E10*$M$4%+TGsh!F10*(1-$M$4%),0)</f>
        <v>0</v>
      </c>
      <c r="J12" s="56">
        <f t="shared" si="11"/>
        <v>0</v>
      </c>
      <c r="K12" s="279" t="str">
        <f>'G1'!K12</f>
        <v xml:space="preserve">Mort + Sel Acum </v>
      </c>
      <c r="L12" s="293">
        <f>SUM(L10:L11)</f>
        <v>0</v>
      </c>
      <c r="M12" s="438">
        <f>IF(M3&gt;0,L12/M3,0)</f>
        <v>0</v>
      </c>
      <c r="N12" s="439">
        <f ca="1">SUM(N10:N11)</f>
        <v>0</v>
      </c>
      <c r="O12" s="27"/>
      <c r="P12" s="307"/>
      <c r="Q12" s="307"/>
      <c r="R12" s="316">
        <f t="shared" si="12"/>
        <v>0</v>
      </c>
      <c r="S12" s="322"/>
      <c r="T12" s="307"/>
      <c r="U12" s="323"/>
      <c r="V12" s="324">
        <f t="shared" si="17"/>
        <v>0</v>
      </c>
      <c r="W12" s="307"/>
      <c r="X12" s="33"/>
      <c r="Y12" s="33"/>
      <c r="Z12" s="36">
        <f t="shared" si="18"/>
        <v>0</v>
      </c>
      <c r="AA12" s="370">
        <f t="shared" si="13"/>
        <v>0</v>
      </c>
      <c r="AB12" s="371">
        <f t="shared" si="1"/>
        <v>0</v>
      </c>
      <c r="AC12" s="372">
        <f t="shared" si="14"/>
        <v>0</v>
      </c>
      <c r="AD12" s="351">
        <f t="shared" si="2"/>
        <v>0</v>
      </c>
      <c r="AE12" s="502">
        <f t="shared" si="15"/>
        <v>0</v>
      </c>
      <c r="AF12" s="352">
        <f t="shared" si="3"/>
        <v>0</v>
      </c>
      <c r="AG12" s="30">
        <f t="shared" si="4"/>
        <v>0</v>
      </c>
      <c r="AH12" s="48">
        <f>IF($M$3&gt;0,TGsh!C10*$M$4%+TGsh!D10*(1-$M$4%),0)</f>
        <v>0</v>
      </c>
      <c r="AI12" s="342">
        <f>IF('Liq-Zoot'!$F$31&gt;0,AK8/1000*J12/'Liq-Zoot'!$F$31,0)</f>
        <v>0</v>
      </c>
      <c r="AJ12" s="343" t="s">
        <v>5</v>
      </c>
      <c r="AK12" s="344">
        <f>IF(AK10&gt;0,AK11/AK10,0)</f>
        <v>0</v>
      </c>
      <c r="AL12" s="345">
        <f>IF(AL10&gt;0,AL11/AL10,0)</f>
        <v>0</v>
      </c>
      <c r="AM12" s="346" t="str">
        <f>IF(AK12&gt;0,(AK12-AL12)/AL12*100,"")</f>
        <v/>
      </c>
      <c r="AN12" s="50"/>
      <c r="AO12" s="16">
        <f t="shared" si="20"/>
        <v>6</v>
      </c>
      <c r="AP12" s="8">
        <f>AK41</f>
        <v>0</v>
      </c>
      <c r="AQ12" s="8">
        <f t="shared" ref="AQ12:AR12" si="24">AL41</f>
        <v>0</v>
      </c>
      <c r="AR12" s="17" t="str">
        <f t="shared" si="24"/>
        <v/>
      </c>
      <c r="AS12" s="72">
        <f t="shared" si="5"/>
        <v>0</v>
      </c>
      <c r="AT12" s="72">
        <f t="shared" si="6"/>
        <v>0</v>
      </c>
      <c r="AU12" s="72">
        <f t="shared" si="7"/>
        <v>0</v>
      </c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</row>
    <row r="13" spans="1:67" ht="15.75" customHeight="1" x14ac:dyDescent="0.25">
      <c r="A13" s="928" t="s">
        <v>11</v>
      </c>
      <c r="B13" s="52" t="str">
        <f t="shared" si="8"/>
        <v/>
      </c>
      <c r="C13" s="374">
        <f t="shared" si="9"/>
        <v>8</v>
      </c>
      <c r="D13" s="392"/>
      <c r="E13" s="393"/>
      <c r="F13" s="394"/>
      <c r="G13" s="392"/>
      <c r="H13" s="403">
        <f t="shared" si="0"/>
        <v>0</v>
      </c>
      <c r="I13" s="418">
        <f>IF($Q$1&gt;0,TGsh!E11*$M$4%+TGsh!F11*(1-$M$4%),0)</f>
        <v>0</v>
      </c>
      <c r="J13" s="55">
        <f t="shared" si="11"/>
        <v>0</v>
      </c>
      <c r="K13" s="294" t="str">
        <f>$K$6</f>
        <v>Item</v>
      </c>
      <c r="L13" s="295" t="str">
        <f>$L$6</f>
        <v>#</v>
      </c>
      <c r="M13" s="295" t="str">
        <f>$M$6</f>
        <v>Real %</v>
      </c>
      <c r="N13" s="296" t="str">
        <f>$N$6</f>
        <v>Guia %</v>
      </c>
      <c r="O13" s="25"/>
      <c r="P13" s="31"/>
      <c r="Q13" s="305"/>
      <c r="R13" s="314">
        <f t="shared" si="12"/>
        <v>0</v>
      </c>
      <c r="S13" s="318"/>
      <c r="T13" s="31"/>
      <c r="U13" s="319"/>
      <c r="V13" s="34">
        <f>V12+S13-IF(T$5="Bulto X 40 K",T13,T13/40)-U13</f>
        <v>0</v>
      </c>
      <c r="W13" s="305"/>
      <c r="X13" s="31"/>
      <c r="Y13" s="31"/>
      <c r="Z13" s="34">
        <f>Z12+W13-IF(X$5="Bulto X 40 K",X13,X13/40)-Y13</f>
        <v>0</v>
      </c>
      <c r="AA13" s="364">
        <f t="shared" si="13"/>
        <v>0</v>
      </c>
      <c r="AB13" s="365">
        <f t="shared" si="1"/>
        <v>0</v>
      </c>
      <c r="AC13" s="366">
        <f t="shared" si="14"/>
        <v>0</v>
      </c>
      <c r="AD13" s="325">
        <f t="shared" si="2"/>
        <v>0</v>
      </c>
      <c r="AE13" s="326">
        <f t="shared" si="15"/>
        <v>0</v>
      </c>
      <c r="AF13" s="349">
        <f t="shared" si="3"/>
        <v>0</v>
      </c>
      <c r="AG13" s="28">
        <f t="shared" si="4"/>
        <v>0</v>
      </c>
      <c r="AH13" s="46">
        <f>IF($M$3&gt;0,TGsh!C11*$M$4%+TGsh!D11*(1-$M$4%),0)</f>
        <v>0</v>
      </c>
      <c r="AI13" s="347" t="str">
        <f>$AI$6</f>
        <v>Gr. Obten.</v>
      </c>
      <c r="AJ13" s="335" t="str">
        <f>$AJ$6</f>
        <v>Cons Sem</v>
      </c>
      <c r="AK13" s="3">
        <f>IF((J19+SUM(F13:F19))&gt;0,SUM(AD13:AD19)*40000/(J19+SUM(F13:F19)),0)</f>
        <v>0</v>
      </c>
      <c r="AL13" s="41">
        <f>SUMIF($AD13:$AD19,"&gt;0",AH13:AH19)</f>
        <v>0</v>
      </c>
      <c r="AM13" s="336" t="str">
        <f>IF(AK13&gt;0,(AK13-AL13)/AL13*100,"")</f>
        <v/>
      </c>
      <c r="AN13" s="50"/>
      <c r="AO13" s="16">
        <f t="shared" si="20"/>
        <v>7</v>
      </c>
      <c r="AP13" s="8">
        <f>AK48</f>
        <v>0</v>
      </c>
      <c r="AQ13" s="8">
        <f t="shared" ref="AQ13:AR13" si="25">AL48</f>
        <v>0</v>
      </c>
      <c r="AR13" s="17" t="str">
        <f t="shared" si="25"/>
        <v/>
      </c>
      <c r="AS13" s="72">
        <f t="shared" si="5"/>
        <v>0</v>
      </c>
      <c r="AT13" s="72">
        <f t="shared" si="6"/>
        <v>0</v>
      </c>
      <c r="AU13" s="72">
        <f t="shared" si="7"/>
        <v>0</v>
      </c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</row>
    <row r="14" spans="1:67" ht="16.5" thickBot="1" x14ac:dyDescent="0.3">
      <c r="A14" s="929"/>
      <c r="B14" s="53" t="str">
        <f t="shared" si="8"/>
        <v/>
      </c>
      <c r="C14" s="375">
        <f t="shared" si="9"/>
        <v>9</v>
      </c>
      <c r="D14" s="395"/>
      <c r="E14" s="396"/>
      <c r="F14" s="397"/>
      <c r="G14" s="395"/>
      <c r="H14" s="404">
        <f t="shared" si="0"/>
        <v>0</v>
      </c>
      <c r="I14" s="421">
        <f>IF($Q$1&gt;0,TGsh!E12*$M$4%+TGsh!F12*(1-$M$4%),0)</f>
        <v>0</v>
      </c>
      <c r="J14" s="411">
        <f t="shared" si="11"/>
        <v>0</v>
      </c>
      <c r="K14" s="297" t="str">
        <f>$K$7</f>
        <v xml:space="preserve">Mort Sem </v>
      </c>
      <c r="L14" s="289">
        <f>SUM(D13:D19)</f>
        <v>0</v>
      </c>
      <c r="M14" s="429">
        <f>IF(J12&gt;0,L14/J12,0)</f>
        <v>0</v>
      </c>
      <c r="N14" s="430">
        <f ca="1">SUM(TGsh!G11:G17)</f>
        <v>0</v>
      </c>
      <c r="O14" s="26"/>
      <c r="P14" s="32"/>
      <c r="Q14" s="32"/>
      <c r="R14" s="315">
        <f t="shared" si="12"/>
        <v>0</v>
      </c>
      <c r="S14" s="320"/>
      <c r="T14" s="32"/>
      <c r="U14" s="321"/>
      <c r="V14" s="35">
        <f>V13+S14-IF(T$5="Bulto X 40 K",T14,T14/40)-U14</f>
        <v>0</v>
      </c>
      <c r="W14" s="306"/>
      <c r="X14" s="32"/>
      <c r="Y14" s="32"/>
      <c r="Z14" s="35">
        <f>Z13+W14-IF(X$5="Bulto X 40 K",X14,X14/40)-Y14</f>
        <v>0</v>
      </c>
      <c r="AA14" s="367">
        <f t="shared" si="13"/>
        <v>0</v>
      </c>
      <c r="AB14" s="368">
        <f t="shared" si="1"/>
        <v>0</v>
      </c>
      <c r="AC14" s="369">
        <f t="shared" si="14"/>
        <v>0</v>
      </c>
      <c r="AD14" s="327">
        <f t="shared" si="2"/>
        <v>0</v>
      </c>
      <c r="AE14" s="328">
        <f t="shared" si="15"/>
        <v>0</v>
      </c>
      <c r="AF14" s="350">
        <f t="shared" si="3"/>
        <v>0</v>
      </c>
      <c r="AG14" s="29">
        <f t="shared" si="4"/>
        <v>0</v>
      </c>
      <c r="AH14" s="47">
        <f>IF($M$3&gt;0,TGsh!C12*$M$4%+TGsh!D12*(1-$M$4%),0)</f>
        <v>0</v>
      </c>
      <c r="AI14" s="337">
        <f>IF(SUM(AD13:AD19)&gt;0,AVERAGEIF(AD13:AD19,"&gt;0",AG13:AG19),0)</f>
        <v>0</v>
      </c>
      <c r="AJ14" s="338" t="str">
        <f>$AJ$7</f>
        <v>Cons Acum</v>
      </c>
      <c r="AK14" s="339">
        <f>IF((J19+SUM(F$6:F19))&gt;0,SUM(AD$6:AD19)*40000/(J19+SUM(F$6:F19)),0)</f>
        <v>0</v>
      </c>
      <c r="AL14" s="340">
        <f>AL7+AL13</f>
        <v>0</v>
      </c>
      <c r="AM14" s="341" t="str">
        <f>IF(AK13&gt;0,(AK14-AL14)/AL14*100,"")</f>
        <v/>
      </c>
      <c r="AN14" s="50"/>
      <c r="AO14" s="18">
        <f t="shared" si="20"/>
        <v>8</v>
      </c>
      <c r="AP14" s="22">
        <f>AK55</f>
        <v>0</v>
      </c>
      <c r="AQ14" s="22">
        <f t="shared" ref="AQ14:AR14" si="26">AL55</f>
        <v>0</v>
      </c>
      <c r="AR14" s="23" t="str">
        <f t="shared" si="26"/>
        <v/>
      </c>
      <c r="AS14" s="72">
        <f t="shared" si="5"/>
        <v>0</v>
      </c>
      <c r="AT14" s="72">
        <f t="shared" si="6"/>
        <v>0</v>
      </c>
      <c r="AU14" s="72">
        <f t="shared" si="7"/>
        <v>0</v>
      </c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</row>
    <row r="15" spans="1:67" ht="16.5" thickBot="1" x14ac:dyDescent="0.3">
      <c r="A15" s="929"/>
      <c r="B15" s="53" t="str">
        <f t="shared" si="8"/>
        <v/>
      </c>
      <c r="C15" s="375">
        <f t="shared" si="9"/>
        <v>10</v>
      </c>
      <c r="D15" s="395"/>
      <c r="E15" s="396"/>
      <c r="F15" s="397"/>
      <c r="G15" s="395"/>
      <c r="H15" s="404">
        <f t="shared" si="0"/>
        <v>0</v>
      </c>
      <c r="I15" s="421">
        <f>IF($Q$1&gt;0,TGsh!E13*$M$4%+TGsh!F13*(1-$M$4%),0)</f>
        <v>0</v>
      </c>
      <c r="J15" s="411">
        <f t="shared" si="11"/>
        <v>0</v>
      </c>
      <c r="K15" s="298" t="str">
        <f>$K$8</f>
        <v xml:space="preserve">Sel Sem </v>
      </c>
      <c r="L15" s="290">
        <f>SUM(E13:E19)</f>
        <v>0</v>
      </c>
      <c r="M15" s="431">
        <f>IF(J12&gt;0,L15/J12,0)</f>
        <v>0</v>
      </c>
      <c r="N15" s="432">
        <v>0</v>
      </c>
      <c r="O15" s="26"/>
      <c r="P15" s="32"/>
      <c r="Q15" s="32"/>
      <c r="R15" s="315">
        <f t="shared" si="12"/>
        <v>0</v>
      </c>
      <c r="S15" s="320"/>
      <c r="T15" s="32"/>
      <c r="U15" s="321"/>
      <c r="V15" s="35">
        <f t="shared" si="17"/>
        <v>0</v>
      </c>
      <c r="W15" s="306"/>
      <c r="X15" s="32"/>
      <c r="Y15" s="32"/>
      <c r="Z15" s="35">
        <f t="shared" si="18"/>
        <v>0</v>
      </c>
      <c r="AA15" s="367">
        <f t="shared" si="13"/>
        <v>0</v>
      </c>
      <c r="AB15" s="368">
        <f t="shared" si="1"/>
        <v>0</v>
      </c>
      <c r="AC15" s="369">
        <f t="shared" si="14"/>
        <v>0</v>
      </c>
      <c r="AD15" s="327">
        <f t="shared" si="2"/>
        <v>0</v>
      </c>
      <c r="AE15" s="328">
        <f t="shared" si="15"/>
        <v>0</v>
      </c>
      <c r="AF15" s="350">
        <f t="shared" si="3"/>
        <v>0</v>
      </c>
      <c r="AG15" s="29">
        <f t="shared" si="4"/>
        <v>0</v>
      </c>
      <c r="AH15" s="47">
        <f>IF($M$3&gt;0,TGsh!C13*$M$4%+TGsh!D13*(1-$M$4%),0)</f>
        <v>0</v>
      </c>
      <c r="AI15" s="40" t="str">
        <f>$AI$8</f>
        <v>Gr. Guía</v>
      </c>
      <c r="AJ15" s="4" t="str">
        <f>$AJ$8</f>
        <v>Peso Sem</v>
      </c>
      <c r="AK15" s="24"/>
      <c r="AL15" s="42">
        <f>IF($Q$1&gt;0,I19,0)</f>
        <v>0</v>
      </c>
      <c r="AM15" s="9" t="str">
        <f>IF(AK15&gt;0,(AK15-AL15)/AL15*100,"")</f>
        <v/>
      </c>
      <c r="AN15" s="50"/>
      <c r="AO15" s="19" t="s">
        <v>9</v>
      </c>
      <c r="AP15" s="20" t="s">
        <v>27</v>
      </c>
      <c r="AQ15" s="20" t="s">
        <v>28</v>
      </c>
      <c r="AR15" s="21" t="s">
        <v>14</v>
      </c>
      <c r="AS15" s="72">
        <f t="shared" si="5"/>
        <v>0</v>
      </c>
      <c r="AT15" s="72">
        <f t="shared" si="6"/>
        <v>0</v>
      </c>
      <c r="AU15" s="72">
        <f t="shared" si="7"/>
        <v>0</v>
      </c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</row>
    <row r="16" spans="1:67" ht="15.75" x14ac:dyDescent="0.25">
      <c r="A16" s="929"/>
      <c r="B16" s="53" t="str">
        <f t="shared" si="8"/>
        <v/>
      </c>
      <c r="C16" s="375">
        <f t="shared" si="9"/>
        <v>11</v>
      </c>
      <c r="D16" s="395"/>
      <c r="E16" s="396"/>
      <c r="F16" s="397"/>
      <c r="G16" s="395"/>
      <c r="H16" s="404">
        <f t="shared" si="0"/>
        <v>0</v>
      </c>
      <c r="I16" s="421">
        <f>IF($Q$1&gt;0,TGsh!E14*$M$4%+TGsh!F14*(1-$M$4%),0)</f>
        <v>0</v>
      </c>
      <c r="J16" s="411">
        <f t="shared" si="11"/>
        <v>0</v>
      </c>
      <c r="K16" s="299" t="str">
        <f>$K$9</f>
        <v xml:space="preserve">Mort + Sel Sem </v>
      </c>
      <c r="L16" s="291">
        <f>SUM(L14:L15)</f>
        <v>0</v>
      </c>
      <c r="M16" s="433">
        <f>IF(J12&gt;0,L16/J12,0)</f>
        <v>0</v>
      </c>
      <c r="N16" s="434">
        <f ca="1">SUM(N14:N15)</f>
        <v>0</v>
      </c>
      <c r="O16" s="26"/>
      <c r="P16" s="32"/>
      <c r="Q16" s="32"/>
      <c r="R16" s="315">
        <f t="shared" si="12"/>
        <v>0</v>
      </c>
      <c r="S16" s="320"/>
      <c r="T16" s="32"/>
      <c r="U16" s="321"/>
      <c r="V16" s="35">
        <f t="shared" si="17"/>
        <v>0</v>
      </c>
      <c r="W16" s="306"/>
      <c r="X16" s="32"/>
      <c r="Y16" s="32"/>
      <c r="Z16" s="35">
        <f t="shared" si="18"/>
        <v>0</v>
      </c>
      <c r="AA16" s="367">
        <f t="shared" si="13"/>
        <v>0</v>
      </c>
      <c r="AB16" s="368">
        <f t="shared" si="1"/>
        <v>0</v>
      </c>
      <c r="AC16" s="369">
        <f t="shared" si="14"/>
        <v>0</v>
      </c>
      <c r="AD16" s="327">
        <f t="shared" si="2"/>
        <v>0</v>
      </c>
      <c r="AE16" s="328">
        <f t="shared" si="15"/>
        <v>0</v>
      </c>
      <c r="AF16" s="350">
        <f t="shared" si="3"/>
        <v>0</v>
      </c>
      <c r="AG16" s="29">
        <f t="shared" si="4"/>
        <v>0</v>
      </c>
      <c r="AH16" s="47">
        <f>IF($M$3&gt;0,TGsh!C14*$M$4%+TGsh!D14*(1-$M$4%),0)</f>
        <v>0</v>
      </c>
      <c r="AI16" s="337">
        <f>IF(SUM(AD13:AD19)&gt;0,AVERAGEIF(AD13:AD19,"&gt;0",AH13:AH19),0)</f>
        <v>0</v>
      </c>
      <c r="AJ16" s="5" t="str">
        <f>AJ9</f>
        <v>Gan Dia</v>
      </c>
      <c r="AK16" s="6">
        <f>IF(AND(AK8&gt;0,AK15&gt;0),(AK15-AK8)/7,0)</f>
        <v>0</v>
      </c>
      <c r="AL16" s="43">
        <f>IF(AND(AL8&gt;0,AL15&gt;0),(AL15-AL8)/7,0)</f>
        <v>0</v>
      </c>
      <c r="AM16" s="10" t="str">
        <f>IF(AK16&gt;0,(AK16-AL16)/AL16*100,"")</f>
        <v/>
      </c>
      <c r="AN16" s="50"/>
      <c r="AO16" s="14">
        <v>1</v>
      </c>
      <c r="AP16" s="3">
        <f>AK7</f>
        <v>0</v>
      </c>
      <c r="AQ16" s="3">
        <f>AL7</f>
        <v>0</v>
      </c>
      <c r="AR16" s="15" t="str">
        <f>AM7</f>
        <v/>
      </c>
      <c r="AS16" s="72">
        <f t="shared" si="5"/>
        <v>0</v>
      </c>
      <c r="AT16" s="72">
        <f t="shared" si="6"/>
        <v>0</v>
      </c>
      <c r="AU16" s="72">
        <f t="shared" si="7"/>
        <v>0</v>
      </c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</row>
    <row r="17" spans="1:58" ht="15.75" customHeight="1" x14ac:dyDescent="0.25">
      <c r="A17" s="929"/>
      <c r="B17" s="53" t="str">
        <f t="shared" si="8"/>
        <v/>
      </c>
      <c r="C17" s="375">
        <f t="shared" si="9"/>
        <v>12</v>
      </c>
      <c r="D17" s="395"/>
      <c r="E17" s="396"/>
      <c r="F17" s="397"/>
      <c r="G17" s="395"/>
      <c r="H17" s="404">
        <f t="shared" si="0"/>
        <v>0</v>
      </c>
      <c r="I17" s="421">
        <f>IF($Q$1&gt;0,TGsh!E15*$M$4%+TGsh!F15*(1-$M$4%),0)</f>
        <v>0</v>
      </c>
      <c r="J17" s="411">
        <f t="shared" si="11"/>
        <v>0</v>
      </c>
      <c r="K17" s="300" t="str">
        <f>$K$10</f>
        <v xml:space="preserve">Mort Acum </v>
      </c>
      <c r="L17" s="292">
        <f>L14+L10</f>
        <v>0</v>
      </c>
      <c r="M17" s="435">
        <f>IF($M$3&gt;0,L17/$M$3,0)</f>
        <v>0</v>
      </c>
      <c r="N17" s="436">
        <f ca="1">TGsh!H17</f>
        <v>0</v>
      </c>
      <c r="O17" s="26"/>
      <c r="P17" s="32"/>
      <c r="Q17" s="32"/>
      <c r="R17" s="315">
        <f t="shared" si="12"/>
        <v>0</v>
      </c>
      <c r="S17" s="320"/>
      <c r="T17" s="32"/>
      <c r="U17" s="321"/>
      <c r="V17" s="35">
        <f t="shared" si="17"/>
        <v>0</v>
      </c>
      <c r="W17" s="306"/>
      <c r="X17" s="32"/>
      <c r="Y17" s="32"/>
      <c r="Z17" s="35">
        <f t="shared" si="18"/>
        <v>0</v>
      </c>
      <c r="AA17" s="367">
        <f t="shared" si="13"/>
        <v>0</v>
      </c>
      <c r="AB17" s="368">
        <f t="shared" si="1"/>
        <v>0</v>
      </c>
      <c r="AC17" s="369">
        <f t="shared" si="14"/>
        <v>0</v>
      </c>
      <c r="AD17" s="327">
        <f t="shared" si="2"/>
        <v>0</v>
      </c>
      <c r="AE17" s="328">
        <f t="shared" si="15"/>
        <v>0</v>
      </c>
      <c r="AF17" s="350">
        <f t="shared" si="3"/>
        <v>0</v>
      </c>
      <c r="AG17" s="29">
        <f t="shared" si="4"/>
        <v>0</v>
      </c>
      <c r="AH17" s="47">
        <f>IF($M$3&gt;0,TGsh!C15*$M$4%+TGsh!D15*(1-$M$4%),0)</f>
        <v>0</v>
      </c>
      <c r="AI17" s="891" t="s">
        <v>46</v>
      </c>
      <c r="AJ17" s="7" t="str">
        <f>$AJ$10</f>
        <v>Conversión</v>
      </c>
      <c r="AK17" s="13">
        <f>IF(AK15&gt;0,AK14/AK15,0)</f>
        <v>0</v>
      </c>
      <c r="AL17" s="44">
        <f>IF(AL15&gt;0,AL14/AL15,0)</f>
        <v>0</v>
      </c>
      <c r="AM17" s="11" t="str">
        <f>IF(AK15&gt;0,-(AK17-AL17)/AL17*100,"")</f>
        <v/>
      </c>
      <c r="AN17" s="50"/>
      <c r="AO17" s="16">
        <f>AO16+1</f>
        <v>2</v>
      </c>
      <c r="AP17" s="8">
        <f>AK14</f>
        <v>0</v>
      </c>
      <c r="AQ17" s="8">
        <f>AL14</f>
        <v>0</v>
      </c>
      <c r="AR17" s="17" t="str">
        <f>AM14</f>
        <v/>
      </c>
      <c r="AS17" s="72">
        <f t="shared" si="5"/>
        <v>0</v>
      </c>
      <c r="AT17" s="72">
        <f t="shared" si="6"/>
        <v>0</v>
      </c>
      <c r="AU17" s="72">
        <f t="shared" si="7"/>
        <v>0</v>
      </c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</row>
    <row r="18" spans="1:58" ht="15.75" x14ac:dyDescent="0.25">
      <c r="A18" s="929"/>
      <c r="B18" s="53" t="str">
        <f t="shared" si="8"/>
        <v/>
      </c>
      <c r="C18" s="375">
        <f t="shared" si="9"/>
        <v>13</v>
      </c>
      <c r="D18" s="395"/>
      <c r="E18" s="396"/>
      <c r="F18" s="397"/>
      <c r="G18" s="409"/>
      <c r="H18" s="405">
        <f t="shared" si="0"/>
        <v>0</v>
      </c>
      <c r="I18" s="420">
        <f>IF($Q$1&gt;0,TGsh!E16*$M$4%+TGsh!F16*(1-$M$4%),0)</f>
        <v>0</v>
      </c>
      <c r="J18" s="412">
        <f t="shared" si="11"/>
        <v>0</v>
      </c>
      <c r="K18" s="298" t="str">
        <f>$K$11</f>
        <v xml:space="preserve">Sel Acum </v>
      </c>
      <c r="L18" s="290">
        <f>L15+L11</f>
        <v>0</v>
      </c>
      <c r="M18" s="431">
        <f>IF($M$3&gt;0,L18/$M$3,0)</f>
        <v>0</v>
      </c>
      <c r="N18" s="437">
        <f>N15+N11</f>
        <v>0</v>
      </c>
      <c r="O18" s="26"/>
      <c r="P18" s="32"/>
      <c r="Q18" s="32"/>
      <c r="R18" s="315">
        <f t="shared" si="12"/>
        <v>0</v>
      </c>
      <c r="S18" s="320"/>
      <c r="T18" s="32"/>
      <c r="U18" s="321"/>
      <c r="V18" s="35">
        <f t="shared" si="17"/>
        <v>0</v>
      </c>
      <c r="W18" s="306"/>
      <c r="X18" s="32"/>
      <c r="Y18" s="32"/>
      <c r="Z18" s="35">
        <f t="shared" si="18"/>
        <v>0</v>
      </c>
      <c r="AA18" s="367">
        <f t="shared" si="13"/>
        <v>0</v>
      </c>
      <c r="AB18" s="368">
        <f t="shared" si="1"/>
        <v>0</v>
      </c>
      <c r="AC18" s="369">
        <f t="shared" si="14"/>
        <v>0</v>
      </c>
      <c r="AD18" s="327">
        <f t="shared" si="2"/>
        <v>0</v>
      </c>
      <c r="AE18" s="328">
        <f t="shared" si="15"/>
        <v>0</v>
      </c>
      <c r="AF18" s="350">
        <f t="shared" si="3"/>
        <v>0</v>
      </c>
      <c r="AG18" s="29">
        <f t="shared" si="4"/>
        <v>0</v>
      </c>
      <c r="AH18" s="47">
        <f>IF($M$3&gt;0,TGsh!C16*$M$4%+TGsh!D16*(1-$M$4%),0)</f>
        <v>0</v>
      </c>
      <c r="AI18" s="892"/>
      <c r="AJ18" s="7" t="str">
        <f>$AJ$11</f>
        <v>Ef. Alim</v>
      </c>
      <c r="AK18" s="12">
        <f>IF(AK17&gt;0,AK15/AK17/10,0)</f>
        <v>0</v>
      </c>
      <c r="AL18" s="45">
        <f>IF(AL17&gt;0,AL15/AL17/10,0)</f>
        <v>0</v>
      </c>
      <c r="AM18" s="11" t="str">
        <f>IF(AK18&gt;0,(AK18-AL18)/AL18*100,"")</f>
        <v/>
      </c>
      <c r="AN18" s="50"/>
      <c r="AO18" s="16">
        <f t="shared" ref="AO18:AO23" si="27">AO17+1</f>
        <v>3</v>
      </c>
      <c r="AP18" s="8">
        <f>AK21</f>
        <v>0</v>
      </c>
      <c r="AQ18" s="8">
        <f>AL21</f>
        <v>0</v>
      </c>
      <c r="AR18" s="17" t="str">
        <f>AM21</f>
        <v/>
      </c>
      <c r="AS18" s="72">
        <f t="shared" si="5"/>
        <v>0</v>
      </c>
      <c r="AT18" s="72">
        <f t="shared" si="6"/>
        <v>0</v>
      </c>
      <c r="AU18" s="72">
        <f t="shared" si="7"/>
        <v>0</v>
      </c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</row>
    <row r="19" spans="1:58" ht="16.5" thickBot="1" x14ac:dyDescent="0.3">
      <c r="A19" s="930"/>
      <c r="B19" s="54" t="str">
        <f t="shared" si="8"/>
        <v/>
      </c>
      <c r="C19" s="376">
        <f t="shared" si="9"/>
        <v>14</v>
      </c>
      <c r="D19" s="400"/>
      <c r="E19" s="401"/>
      <c r="F19" s="402"/>
      <c r="G19" s="400"/>
      <c r="H19" s="406">
        <f t="shared" si="0"/>
        <v>0</v>
      </c>
      <c r="I19" s="419">
        <f>IF($Q$1&gt;0,TGsh!E17*$M$4%+TGsh!F17*(1-$M$4%),0)</f>
        <v>0</v>
      </c>
      <c r="J19" s="56">
        <f t="shared" si="11"/>
        <v>0</v>
      </c>
      <c r="K19" s="301" t="str">
        <f>$K$12</f>
        <v xml:space="preserve">Mort + Sel Acum </v>
      </c>
      <c r="L19" s="293">
        <f>L16+L12</f>
        <v>0</v>
      </c>
      <c r="M19" s="438">
        <f>IF($M$3&gt;0,L19/$M$3,0)</f>
        <v>0</v>
      </c>
      <c r="N19" s="439">
        <f ca="1">SUM(N17:N18)</f>
        <v>0</v>
      </c>
      <c r="O19" s="27"/>
      <c r="P19" s="33"/>
      <c r="Q19" s="33"/>
      <c r="R19" s="316">
        <f t="shared" si="12"/>
        <v>0</v>
      </c>
      <c r="S19" s="322"/>
      <c r="T19" s="33"/>
      <c r="U19" s="323"/>
      <c r="V19" s="324">
        <f t="shared" si="17"/>
        <v>0</v>
      </c>
      <c r="W19" s="307"/>
      <c r="X19" s="33"/>
      <c r="Y19" s="33"/>
      <c r="Z19" s="36">
        <f t="shared" si="18"/>
        <v>0</v>
      </c>
      <c r="AA19" s="370">
        <f t="shared" si="13"/>
        <v>0</v>
      </c>
      <c r="AB19" s="371">
        <f t="shared" si="1"/>
        <v>0</v>
      </c>
      <c r="AC19" s="372">
        <f t="shared" si="14"/>
        <v>0</v>
      </c>
      <c r="AD19" s="351">
        <f t="shared" si="2"/>
        <v>0</v>
      </c>
      <c r="AE19" s="502">
        <f t="shared" si="15"/>
        <v>0</v>
      </c>
      <c r="AF19" s="352">
        <f t="shared" si="3"/>
        <v>0</v>
      </c>
      <c r="AG19" s="30">
        <f t="shared" si="4"/>
        <v>0</v>
      </c>
      <c r="AH19" s="48">
        <f>IF($M$3&gt;0,TGsh!C17*$M$4%+TGsh!D17*(1-$M$4%),0)</f>
        <v>0</v>
      </c>
      <c r="AI19" s="342">
        <f>IF('Liq-Zoot'!$F$31&gt;0,AK15/1000*J19/'Liq-Zoot'!$F$31,0)</f>
        <v>0</v>
      </c>
      <c r="AJ19" s="343" t="str">
        <f>$AJ$12</f>
        <v>Fact. IP</v>
      </c>
      <c r="AK19" s="344">
        <f>IF(AK17&gt;0,AK18/AK17,0)</f>
        <v>0</v>
      </c>
      <c r="AL19" s="345">
        <f>IF(AL17&gt;0,AL18/AL17,0)</f>
        <v>0</v>
      </c>
      <c r="AM19" s="346" t="str">
        <f>IF(AK19&gt;0,(AK19-AL19)/AL19*100,"")</f>
        <v/>
      </c>
      <c r="AN19" s="50"/>
      <c r="AO19" s="16">
        <f t="shared" si="27"/>
        <v>4</v>
      </c>
      <c r="AP19" s="8">
        <f>AK28</f>
        <v>0</v>
      </c>
      <c r="AQ19" s="8">
        <f>AL28</f>
        <v>0</v>
      </c>
      <c r="AR19" s="17" t="str">
        <f>AM28</f>
        <v/>
      </c>
      <c r="AS19" s="72">
        <f t="shared" si="5"/>
        <v>0</v>
      </c>
      <c r="AT19" s="72">
        <f t="shared" si="6"/>
        <v>0</v>
      </c>
      <c r="AU19" s="72">
        <f t="shared" si="7"/>
        <v>0</v>
      </c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</row>
    <row r="20" spans="1:58" ht="15.75" customHeight="1" x14ac:dyDescent="0.25">
      <c r="A20" s="928" t="s">
        <v>12</v>
      </c>
      <c r="B20" s="52" t="str">
        <f t="shared" si="8"/>
        <v/>
      </c>
      <c r="C20" s="374">
        <f t="shared" si="9"/>
        <v>15</v>
      </c>
      <c r="D20" s="392"/>
      <c r="E20" s="393"/>
      <c r="F20" s="394"/>
      <c r="G20" s="392"/>
      <c r="H20" s="403">
        <f t="shared" si="0"/>
        <v>0</v>
      </c>
      <c r="I20" s="418">
        <f>IF($Q$1&gt;0,TGsh!E18*$M$4%+TGsh!F18*(1-$M$4%),0)</f>
        <v>0</v>
      </c>
      <c r="J20" s="55">
        <f t="shared" si="11"/>
        <v>0</v>
      </c>
      <c r="K20" s="294" t="str">
        <f>$K$6</f>
        <v>Item</v>
      </c>
      <c r="L20" s="295" t="str">
        <f>$L$6</f>
        <v>#</v>
      </c>
      <c r="M20" s="295" t="str">
        <f>$M$6</f>
        <v>Real %</v>
      </c>
      <c r="N20" s="296" t="str">
        <f t="shared" ref="N20" si="28">$N$6</f>
        <v>Guia %</v>
      </c>
      <c r="O20" s="25"/>
      <c r="P20" s="31"/>
      <c r="Q20" s="31"/>
      <c r="R20" s="314">
        <f t="shared" si="12"/>
        <v>0</v>
      </c>
      <c r="S20" s="318"/>
      <c r="T20" s="31"/>
      <c r="U20" s="319"/>
      <c r="V20" s="34">
        <f t="shared" si="17"/>
        <v>0</v>
      </c>
      <c r="W20" s="305"/>
      <c r="X20" s="31"/>
      <c r="Y20" s="31"/>
      <c r="Z20" s="34">
        <f t="shared" si="18"/>
        <v>0</v>
      </c>
      <c r="AA20" s="364">
        <f t="shared" si="13"/>
        <v>0</v>
      </c>
      <c r="AB20" s="365">
        <f t="shared" si="1"/>
        <v>0</v>
      </c>
      <c r="AC20" s="366">
        <f t="shared" si="14"/>
        <v>0</v>
      </c>
      <c r="AD20" s="325">
        <f t="shared" si="2"/>
        <v>0</v>
      </c>
      <c r="AE20" s="326">
        <f t="shared" si="15"/>
        <v>0</v>
      </c>
      <c r="AF20" s="349">
        <f t="shared" si="3"/>
        <v>0</v>
      </c>
      <c r="AG20" s="28">
        <f t="shared" si="4"/>
        <v>0</v>
      </c>
      <c r="AH20" s="46">
        <f>IF($M$3&gt;0,TGsh!C18*$M$4%+TGsh!D18*(1-$M$4%),0)</f>
        <v>0</v>
      </c>
      <c r="AI20" s="347" t="str">
        <f>$AI$6</f>
        <v>Gr. Obten.</v>
      </c>
      <c r="AJ20" s="335" t="str">
        <f>$AJ$6</f>
        <v>Cons Sem</v>
      </c>
      <c r="AK20" s="3">
        <f>IF((J26+SUM(F20:F26))&gt;0,SUM(AD20:AD26)*40000/(J26+SUM(F20:F26)),0)</f>
        <v>0</v>
      </c>
      <c r="AL20" s="41">
        <f>SUMIF($AD20:$AD26,"&gt;0",AH20:AH26)</f>
        <v>0</v>
      </c>
      <c r="AM20" s="336" t="str">
        <f>IF(AK20&gt;0,(AK20-AL20)/AL20*100,"")</f>
        <v/>
      </c>
      <c r="AN20" s="50"/>
      <c r="AO20" s="16">
        <f t="shared" si="27"/>
        <v>5</v>
      </c>
      <c r="AP20" s="8">
        <f>AK35</f>
        <v>0</v>
      </c>
      <c r="AQ20" s="8">
        <f>AL35</f>
        <v>0</v>
      </c>
      <c r="AR20" s="17" t="str">
        <f>AM35</f>
        <v/>
      </c>
      <c r="AS20" s="72">
        <f t="shared" si="5"/>
        <v>0</v>
      </c>
      <c r="AT20" s="72">
        <f t="shared" si="6"/>
        <v>0</v>
      </c>
      <c r="AU20" s="72">
        <f t="shared" si="7"/>
        <v>0</v>
      </c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</row>
    <row r="21" spans="1:58" ht="16.5" thickBot="1" x14ac:dyDescent="0.3">
      <c r="A21" s="929"/>
      <c r="B21" s="53" t="str">
        <f t="shared" si="8"/>
        <v/>
      </c>
      <c r="C21" s="375">
        <f t="shared" si="9"/>
        <v>16</v>
      </c>
      <c r="D21" s="395"/>
      <c r="E21" s="396"/>
      <c r="F21" s="397"/>
      <c r="G21" s="395"/>
      <c r="H21" s="404">
        <f t="shared" si="0"/>
        <v>0</v>
      </c>
      <c r="I21" s="421">
        <f>IF($Q$1&gt;0,TGsh!E19*$M$4%+TGsh!F19*(1-$M$4%),0)</f>
        <v>0</v>
      </c>
      <c r="J21" s="411">
        <f t="shared" si="11"/>
        <v>0</v>
      </c>
      <c r="K21" s="297" t="str">
        <f>$K$7</f>
        <v xml:space="preserve">Mort Sem </v>
      </c>
      <c r="L21" s="289">
        <f>SUM(D20:D26)</f>
        <v>0</v>
      </c>
      <c r="M21" s="429">
        <f>IF(J19&gt;0,L21/J19,0)</f>
        <v>0</v>
      </c>
      <c r="N21" s="430">
        <f ca="1">SUM(TGsh!G18:G24)</f>
        <v>0</v>
      </c>
      <c r="O21" s="26"/>
      <c r="P21" s="32"/>
      <c r="Q21" s="32"/>
      <c r="R21" s="315">
        <f t="shared" si="12"/>
        <v>0</v>
      </c>
      <c r="S21" s="320"/>
      <c r="T21" s="32"/>
      <c r="U21" s="321"/>
      <c r="V21" s="35">
        <f t="shared" si="17"/>
        <v>0</v>
      </c>
      <c r="W21" s="306"/>
      <c r="X21" s="32"/>
      <c r="Y21" s="32"/>
      <c r="Z21" s="35">
        <f t="shared" si="18"/>
        <v>0</v>
      </c>
      <c r="AA21" s="367">
        <f t="shared" si="13"/>
        <v>0</v>
      </c>
      <c r="AB21" s="368">
        <f t="shared" si="1"/>
        <v>0</v>
      </c>
      <c r="AC21" s="369">
        <f t="shared" si="14"/>
        <v>0</v>
      </c>
      <c r="AD21" s="327">
        <f t="shared" si="2"/>
        <v>0</v>
      </c>
      <c r="AE21" s="328">
        <f t="shared" si="15"/>
        <v>0</v>
      </c>
      <c r="AF21" s="350">
        <f t="shared" si="3"/>
        <v>0</v>
      </c>
      <c r="AG21" s="29">
        <f t="shared" si="4"/>
        <v>0</v>
      </c>
      <c r="AH21" s="47">
        <f>IF($M$3&gt;0,TGsh!C19*$M$4%+TGsh!D19*(1-$M$4%),0)</f>
        <v>0</v>
      </c>
      <c r="AI21" s="337">
        <f>IF(SUM(AD20:AD26)&gt;0,AVERAGEIF(AD20:AD26,"&gt;0",AG20:AG26),0)</f>
        <v>0</v>
      </c>
      <c r="AJ21" s="338" t="str">
        <f>$AJ$7</f>
        <v>Cons Acum</v>
      </c>
      <c r="AK21" s="339">
        <f>IF((J26+SUM(F$6:F26))&gt;0,SUM(AD$6:AD26)*40000/(J26+SUM(F$6:F26)),0)</f>
        <v>0</v>
      </c>
      <c r="AL21" s="340">
        <f>AL14+AL20</f>
        <v>0</v>
      </c>
      <c r="AM21" s="341" t="str">
        <f>IF(AK20&gt;0,(AK21-AL21)/AL21*100,"")</f>
        <v/>
      </c>
      <c r="AN21" s="50"/>
      <c r="AO21" s="16">
        <f t="shared" si="27"/>
        <v>6</v>
      </c>
      <c r="AP21" s="8">
        <f>AK42</f>
        <v>0</v>
      </c>
      <c r="AQ21" s="8">
        <f>AL42</f>
        <v>0</v>
      </c>
      <c r="AR21" s="17" t="str">
        <f>AM42</f>
        <v/>
      </c>
      <c r="AS21" s="72">
        <f t="shared" si="5"/>
        <v>0</v>
      </c>
      <c r="AT21" s="72">
        <f t="shared" si="6"/>
        <v>0</v>
      </c>
      <c r="AU21" s="72">
        <f t="shared" si="7"/>
        <v>0</v>
      </c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</row>
    <row r="22" spans="1:58" ht="16.5" thickBot="1" x14ac:dyDescent="0.3">
      <c r="A22" s="929"/>
      <c r="B22" s="53" t="str">
        <f t="shared" si="8"/>
        <v/>
      </c>
      <c r="C22" s="375">
        <f t="shared" si="9"/>
        <v>17</v>
      </c>
      <c r="D22" s="395"/>
      <c r="E22" s="396"/>
      <c r="F22" s="397"/>
      <c r="G22" s="395"/>
      <c r="H22" s="404">
        <f t="shared" si="0"/>
        <v>0</v>
      </c>
      <c r="I22" s="421">
        <f>IF($Q$1&gt;0,TGsh!E20*$M$4%+TGsh!F20*(1-$M$4%),0)</f>
        <v>0</v>
      </c>
      <c r="J22" s="411">
        <f t="shared" si="11"/>
        <v>0</v>
      </c>
      <c r="K22" s="298" t="str">
        <f>$K$8</f>
        <v xml:space="preserve">Sel Sem </v>
      </c>
      <c r="L22" s="290">
        <f>SUM(E20:E26)</f>
        <v>0</v>
      </c>
      <c r="M22" s="431">
        <f>IF(J19&gt;0,L22/J19,0)</f>
        <v>0</v>
      </c>
      <c r="N22" s="432">
        <v>0</v>
      </c>
      <c r="O22" s="26"/>
      <c r="P22" s="32"/>
      <c r="Q22" s="32"/>
      <c r="R22" s="315">
        <f t="shared" si="12"/>
        <v>0</v>
      </c>
      <c r="S22" s="320"/>
      <c r="T22" s="32"/>
      <c r="U22" s="321"/>
      <c r="V22" s="35">
        <f t="shared" si="17"/>
        <v>0</v>
      </c>
      <c r="W22" s="306"/>
      <c r="X22" s="32"/>
      <c r="Y22" s="32"/>
      <c r="Z22" s="35">
        <f t="shared" si="18"/>
        <v>0</v>
      </c>
      <c r="AA22" s="367">
        <f t="shared" si="13"/>
        <v>0</v>
      </c>
      <c r="AB22" s="368">
        <f t="shared" si="1"/>
        <v>0</v>
      </c>
      <c r="AC22" s="369">
        <f t="shared" si="14"/>
        <v>0</v>
      </c>
      <c r="AD22" s="327">
        <f t="shared" si="2"/>
        <v>0</v>
      </c>
      <c r="AE22" s="328">
        <f t="shared" si="15"/>
        <v>0</v>
      </c>
      <c r="AF22" s="350">
        <f t="shared" si="3"/>
        <v>0</v>
      </c>
      <c r="AG22" s="29">
        <f t="shared" si="4"/>
        <v>0</v>
      </c>
      <c r="AH22" s="47">
        <f>IF($M$3&gt;0,TGsh!C20*$M$4%+TGsh!D20*(1-$M$4%),0)</f>
        <v>0</v>
      </c>
      <c r="AI22" s="40" t="str">
        <f>$AI$8</f>
        <v>Gr. Guía</v>
      </c>
      <c r="AJ22" s="4" t="str">
        <f>$AJ$8</f>
        <v>Peso Sem</v>
      </c>
      <c r="AK22" s="24"/>
      <c r="AL22" s="42">
        <f>IF($Q$1&gt;0,I26,0)</f>
        <v>0</v>
      </c>
      <c r="AM22" s="9" t="str">
        <f>IF(AK22&gt;0,(AK22-AL22)/AL22*100,"")</f>
        <v/>
      </c>
      <c r="AN22" s="50"/>
      <c r="AO22" s="16">
        <f t="shared" si="27"/>
        <v>7</v>
      </c>
      <c r="AP22" s="8">
        <f>AK49</f>
        <v>0</v>
      </c>
      <c r="AQ22" s="8">
        <f>AL49</f>
        <v>0</v>
      </c>
      <c r="AR22" s="17" t="str">
        <f>AM49</f>
        <v/>
      </c>
      <c r="AS22" s="72">
        <f t="shared" si="5"/>
        <v>0</v>
      </c>
      <c r="AT22" s="72">
        <f t="shared" si="6"/>
        <v>0</v>
      </c>
      <c r="AU22" s="72">
        <f t="shared" si="7"/>
        <v>0</v>
      </c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</row>
    <row r="23" spans="1:58" ht="16.5" thickBot="1" x14ac:dyDescent="0.3">
      <c r="A23" s="929"/>
      <c r="B23" s="53" t="str">
        <f t="shared" si="8"/>
        <v/>
      </c>
      <c r="C23" s="375">
        <f t="shared" si="9"/>
        <v>18</v>
      </c>
      <c r="D23" s="395"/>
      <c r="E23" s="396"/>
      <c r="F23" s="397"/>
      <c r="G23" s="395"/>
      <c r="H23" s="404">
        <f t="shared" si="0"/>
        <v>0</v>
      </c>
      <c r="I23" s="421">
        <f>IF($Q$1&gt;0,TGsh!E21*$M$4%+TGsh!F21*(1-$M$4%),0)</f>
        <v>0</v>
      </c>
      <c r="J23" s="411">
        <f t="shared" si="11"/>
        <v>0</v>
      </c>
      <c r="K23" s="299" t="str">
        <f>$K$9</f>
        <v xml:space="preserve">Mort + Sel Sem </v>
      </c>
      <c r="L23" s="291">
        <f>SUM(L21:L22)</f>
        <v>0</v>
      </c>
      <c r="M23" s="433">
        <f>IF(J19&gt;0,L23/J19,0)</f>
        <v>0</v>
      </c>
      <c r="N23" s="434">
        <f t="shared" ref="N23" ca="1" si="29">SUM(N21:N22)</f>
        <v>0</v>
      </c>
      <c r="O23" s="26"/>
      <c r="P23" s="32"/>
      <c r="Q23" s="32"/>
      <c r="R23" s="315">
        <f t="shared" si="12"/>
        <v>0</v>
      </c>
      <c r="S23" s="320"/>
      <c r="T23" s="32"/>
      <c r="U23" s="321"/>
      <c r="V23" s="35">
        <f t="shared" si="17"/>
        <v>0</v>
      </c>
      <c r="W23" s="306"/>
      <c r="X23" s="32"/>
      <c r="Y23" s="32"/>
      <c r="Z23" s="35">
        <f t="shared" si="18"/>
        <v>0</v>
      </c>
      <c r="AA23" s="367">
        <f t="shared" si="13"/>
        <v>0</v>
      </c>
      <c r="AB23" s="368">
        <f t="shared" si="1"/>
        <v>0</v>
      </c>
      <c r="AC23" s="369">
        <f t="shared" si="14"/>
        <v>0</v>
      </c>
      <c r="AD23" s="327">
        <f t="shared" si="2"/>
        <v>0</v>
      </c>
      <c r="AE23" s="328">
        <f t="shared" si="15"/>
        <v>0</v>
      </c>
      <c r="AF23" s="350">
        <f t="shared" si="3"/>
        <v>0</v>
      </c>
      <c r="AG23" s="29">
        <f t="shared" si="4"/>
        <v>0</v>
      </c>
      <c r="AH23" s="47">
        <f>IF($M$3&gt;0,TGsh!C21*$M$4%+TGsh!D21*(1-$M$4%),0)</f>
        <v>0</v>
      </c>
      <c r="AI23" s="337">
        <f>IF(SUM(AD20:AD26)&gt;0,AVERAGEIF(AD20:AD26,"&gt;0",AH20:AH26),0)</f>
        <v>0</v>
      </c>
      <c r="AJ23" s="5" t="str">
        <f t="shared" ref="AJ23" si="30">AJ16</f>
        <v>Gan Dia</v>
      </c>
      <c r="AK23" s="6">
        <f>IF(AND(AK15&gt;0,AK22&gt;0),(AK22-AK15)/(COUNTIF(AD20:AD26,"&gt;0")),0)</f>
        <v>0</v>
      </c>
      <c r="AL23" s="43">
        <f>IF(AND(AL15&gt;0,AL22&gt;0,COUNTIF(AD20:AD26,"&gt;0")),(AL22-AL15)/COUNTIF(AD20:AD26,"&gt;0"),0)</f>
        <v>0</v>
      </c>
      <c r="AM23" s="10" t="str">
        <f>IF(AK23&gt;0,(AK23-AL23)/AL23*100,"")</f>
        <v/>
      </c>
      <c r="AN23" s="354"/>
      <c r="AO23" s="18">
        <f t="shared" si="27"/>
        <v>8</v>
      </c>
      <c r="AP23" s="22">
        <f>AK56</f>
        <v>0</v>
      </c>
      <c r="AQ23" s="22">
        <f t="shared" ref="AQ23:AR23" si="31">AL56</f>
        <v>0</v>
      </c>
      <c r="AR23" s="23" t="str">
        <f t="shared" si="31"/>
        <v/>
      </c>
      <c r="AS23" s="72">
        <f t="shared" si="5"/>
        <v>0</v>
      </c>
      <c r="AT23" s="72">
        <f t="shared" si="6"/>
        <v>0</v>
      </c>
      <c r="AU23" s="72">
        <f t="shared" si="7"/>
        <v>0</v>
      </c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</row>
    <row r="24" spans="1:58" ht="16.5" customHeight="1" thickBot="1" x14ac:dyDescent="0.3">
      <c r="A24" s="929"/>
      <c r="B24" s="53" t="str">
        <f t="shared" si="8"/>
        <v/>
      </c>
      <c r="C24" s="375">
        <f t="shared" si="9"/>
        <v>19</v>
      </c>
      <c r="D24" s="395"/>
      <c r="E24" s="396"/>
      <c r="F24" s="397"/>
      <c r="G24" s="395"/>
      <c r="H24" s="404">
        <f t="shared" si="0"/>
        <v>0</v>
      </c>
      <c r="I24" s="421">
        <f>IF($Q$1&gt;0,TGsh!E22*$M$4%+TGsh!F22*(1-$M$4%),0)</f>
        <v>0</v>
      </c>
      <c r="J24" s="411">
        <f t="shared" si="11"/>
        <v>0</v>
      </c>
      <c r="K24" s="300" t="str">
        <f>$K$10</f>
        <v xml:space="preserve">Mort Acum </v>
      </c>
      <c r="L24" s="292">
        <f>L21+L17</f>
        <v>0</v>
      </c>
      <c r="M24" s="435">
        <f>IF($M$3&gt;0,L24/$M$3,0)</f>
        <v>0</v>
      </c>
      <c r="N24" s="436">
        <f ca="1">TGsh!H24</f>
        <v>0</v>
      </c>
      <c r="O24" s="26"/>
      <c r="P24" s="32"/>
      <c r="Q24" s="32"/>
      <c r="R24" s="315">
        <f t="shared" si="12"/>
        <v>0</v>
      </c>
      <c r="S24" s="320"/>
      <c r="T24" s="32"/>
      <c r="U24" s="321"/>
      <c r="V24" s="35">
        <f t="shared" si="17"/>
        <v>0</v>
      </c>
      <c r="W24" s="306"/>
      <c r="X24" s="32"/>
      <c r="Y24" s="32"/>
      <c r="Z24" s="35">
        <f t="shared" si="18"/>
        <v>0</v>
      </c>
      <c r="AA24" s="367">
        <f t="shared" si="13"/>
        <v>0</v>
      </c>
      <c r="AB24" s="368">
        <f t="shared" si="1"/>
        <v>0</v>
      </c>
      <c r="AC24" s="369">
        <f t="shared" si="14"/>
        <v>0</v>
      </c>
      <c r="AD24" s="327">
        <f t="shared" si="2"/>
        <v>0</v>
      </c>
      <c r="AE24" s="328">
        <f t="shared" si="15"/>
        <v>0</v>
      </c>
      <c r="AF24" s="350">
        <f t="shared" si="3"/>
        <v>0</v>
      </c>
      <c r="AG24" s="29">
        <f t="shared" si="4"/>
        <v>0</v>
      </c>
      <c r="AH24" s="47">
        <f>IF($M$3&gt;0,TGsh!C22*$M$4%+TGsh!D22*(1-$M$4%),0)</f>
        <v>0</v>
      </c>
      <c r="AI24" s="891" t="s">
        <v>46</v>
      </c>
      <c r="AJ24" s="7" t="str">
        <f>$AJ$10</f>
        <v>Conversión</v>
      </c>
      <c r="AK24" s="13">
        <f>IF(AK22&gt;0,AK21/AK22,0)</f>
        <v>0</v>
      </c>
      <c r="AL24" s="44">
        <f>IF(AL22&gt;0,AL21/AL22,0)</f>
        <v>0</v>
      </c>
      <c r="AM24" s="11" t="str">
        <f>IF(AK22&gt;0,-(AK24-AL24)/AL24*100,"")</f>
        <v/>
      </c>
      <c r="AN24" s="50"/>
      <c r="AO24" s="19" t="s">
        <v>9</v>
      </c>
      <c r="AP24" s="20" t="s">
        <v>29</v>
      </c>
      <c r="AQ24" s="20" t="s">
        <v>30</v>
      </c>
      <c r="AR24" s="21" t="s">
        <v>14</v>
      </c>
      <c r="AS24" s="72">
        <f t="shared" si="5"/>
        <v>0</v>
      </c>
      <c r="AT24" s="72">
        <f t="shared" si="6"/>
        <v>0</v>
      </c>
      <c r="AU24" s="72">
        <f t="shared" si="7"/>
        <v>0</v>
      </c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</row>
    <row r="25" spans="1:58" ht="15.75" x14ac:dyDescent="0.25">
      <c r="A25" s="929"/>
      <c r="B25" s="53" t="str">
        <f t="shared" si="8"/>
        <v/>
      </c>
      <c r="C25" s="375">
        <f t="shared" si="9"/>
        <v>20</v>
      </c>
      <c r="D25" s="395"/>
      <c r="E25" s="396"/>
      <c r="F25" s="397"/>
      <c r="G25" s="409"/>
      <c r="H25" s="405">
        <f t="shared" si="0"/>
        <v>0</v>
      </c>
      <c r="I25" s="420">
        <f>IF($Q$1&gt;0,TGsh!E23*$M$4%+TGsh!F23*(1-$M$4%),0)</f>
        <v>0</v>
      </c>
      <c r="J25" s="412">
        <f t="shared" si="11"/>
        <v>0</v>
      </c>
      <c r="K25" s="298" t="str">
        <f>$K$11</f>
        <v xml:space="preserve">Sel Acum </v>
      </c>
      <c r="L25" s="290">
        <f>L22+L18</f>
        <v>0</v>
      </c>
      <c r="M25" s="431">
        <f>IF($M$3&gt;0,L25/$M$3,0)</f>
        <v>0</v>
      </c>
      <c r="N25" s="437">
        <f t="shared" ref="N25" si="32">N22+N18</f>
        <v>0</v>
      </c>
      <c r="O25" s="26"/>
      <c r="P25" s="32"/>
      <c r="Q25" s="32"/>
      <c r="R25" s="315">
        <f t="shared" si="12"/>
        <v>0</v>
      </c>
      <c r="S25" s="320"/>
      <c r="T25" s="32"/>
      <c r="U25" s="321"/>
      <c r="V25" s="35">
        <f t="shared" si="17"/>
        <v>0</v>
      </c>
      <c r="W25" s="306"/>
      <c r="X25" s="32"/>
      <c r="Y25" s="32"/>
      <c r="Z25" s="35">
        <f t="shared" ref="Z25:Z30" si="33">Z24+W25-IF(X$5="Bulto X 40 K",X25,X25/40)-Y25</f>
        <v>0</v>
      </c>
      <c r="AA25" s="367">
        <f t="shared" si="13"/>
        <v>0</v>
      </c>
      <c r="AB25" s="368">
        <f t="shared" si="1"/>
        <v>0</v>
      </c>
      <c r="AC25" s="369">
        <f t="shared" si="14"/>
        <v>0</v>
      </c>
      <c r="AD25" s="327">
        <f t="shared" si="2"/>
        <v>0</v>
      </c>
      <c r="AE25" s="328">
        <f t="shared" si="15"/>
        <v>0</v>
      </c>
      <c r="AF25" s="350">
        <f t="shared" si="3"/>
        <v>0</v>
      </c>
      <c r="AG25" s="29">
        <f t="shared" si="4"/>
        <v>0</v>
      </c>
      <c r="AH25" s="47">
        <f>IF($M$3&gt;0,TGsh!C23*$M$4%+TGsh!D23*(1-$M$4%),0)</f>
        <v>0</v>
      </c>
      <c r="AI25" s="892"/>
      <c r="AJ25" s="7" t="str">
        <f>$AJ$11</f>
        <v>Ef. Alim</v>
      </c>
      <c r="AK25" s="12">
        <f>IF(AK24&gt;0,AK22/AK24/10,0)</f>
        <v>0</v>
      </c>
      <c r="AL25" s="45">
        <f>IF(AL24&gt;0,AL22/AL24/10,0)</f>
        <v>0</v>
      </c>
      <c r="AM25" s="11" t="str">
        <f>IF(AK25&gt;0,(AK25-AL25)/AL25*100,"")</f>
        <v/>
      </c>
      <c r="AN25" s="50"/>
      <c r="AO25" s="14">
        <v>1</v>
      </c>
      <c r="AP25" s="3">
        <f>AK8</f>
        <v>0</v>
      </c>
      <c r="AQ25" s="3">
        <f>AL8</f>
        <v>0</v>
      </c>
      <c r="AR25" s="15" t="str">
        <f>AM8</f>
        <v/>
      </c>
      <c r="AS25" s="72">
        <f t="shared" si="5"/>
        <v>0</v>
      </c>
      <c r="AT25" s="72">
        <f t="shared" si="6"/>
        <v>0</v>
      </c>
      <c r="AU25" s="72">
        <f t="shared" si="7"/>
        <v>0</v>
      </c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</row>
    <row r="26" spans="1:58" ht="16.5" thickBot="1" x14ac:dyDescent="0.3">
      <c r="A26" s="930"/>
      <c r="B26" s="54" t="str">
        <f t="shared" si="8"/>
        <v/>
      </c>
      <c r="C26" s="376">
        <f t="shared" si="9"/>
        <v>21</v>
      </c>
      <c r="D26" s="400"/>
      <c r="E26" s="401"/>
      <c r="F26" s="402"/>
      <c r="G26" s="400"/>
      <c r="H26" s="406">
        <f t="shared" si="0"/>
        <v>0</v>
      </c>
      <c r="I26" s="419">
        <f>IF($Q$1&gt;0,TGsh!E24*$M$4%+TGsh!F24*(1-$M$4%),0)</f>
        <v>0</v>
      </c>
      <c r="J26" s="56">
        <f t="shared" si="11"/>
        <v>0</v>
      </c>
      <c r="K26" s="301" t="str">
        <f>$K$12</f>
        <v xml:space="preserve">Mort + Sel Acum </v>
      </c>
      <c r="L26" s="293">
        <f>L23+L19</f>
        <v>0</v>
      </c>
      <c r="M26" s="438">
        <f>IF($M$3&gt;0,L26/$M$3,0)</f>
        <v>0</v>
      </c>
      <c r="N26" s="439">
        <f t="shared" ref="N26" ca="1" si="34">SUM(N24:N25)</f>
        <v>0</v>
      </c>
      <c r="O26" s="27"/>
      <c r="P26" s="33"/>
      <c r="Q26" s="33"/>
      <c r="R26" s="316">
        <f t="shared" si="12"/>
        <v>0</v>
      </c>
      <c r="S26" s="322"/>
      <c r="T26" s="33"/>
      <c r="U26" s="323"/>
      <c r="V26" s="324">
        <f t="shared" si="17"/>
        <v>0</v>
      </c>
      <c r="W26" s="307"/>
      <c r="X26" s="33"/>
      <c r="Y26" s="33"/>
      <c r="Z26" s="36">
        <f t="shared" si="33"/>
        <v>0</v>
      </c>
      <c r="AA26" s="370">
        <f t="shared" si="13"/>
        <v>0</v>
      </c>
      <c r="AB26" s="371">
        <f t="shared" si="1"/>
        <v>0</v>
      </c>
      <c r="AC26" s="372">
        <f t="shared" si="14"/>
        <v>0</v>
      </c>
      <c r="AD26" s="351">
        <f t="shared" si="2"/>
        <v>0</v>
      </c>
      <c r="AE26" s="502">
        <f t="shared" si="15"/>
        <v>0</v>
      </c>
      <c r="AF26" s="352">
        <f t="shared" si="3"/>
        <v>0</v>
      </c>
      <c r="AG26" s="30">
        <f t="shared" si="4"/>
        <v>0</v>
      </c>
      <c r="AH26" s="48">
        <f>IF($M$3&gt;0,TGsh!C24*$M$4%+TGsh!D24*(1-$M$4%),0)</f>
        <v>0</v>
      </c>
      <c r="AI26" s="342">
        <f>IF('Liq-Zoot'!$F$31&gt;0,AK22/1000*J26/'Liq-Zoot'!$F$31,0)</f>
        <v>0</v>
      </c>
      <c r="AJ26" s="343" t="str">
        <f>$AJ$12</f>
        <v>Fact. IP</v>
      </c>
      <c r="AK26" s="344">
        <f>IF(AK24&gt;0,AK25/AK24,0)</f>
        <v>0</v>
      </c>
      <c r="AL26" s="345">
        <f>IF(AL24&gt;0,AL25/AL24,0)</f>
        <v>0</v>
      </c>
      <c r="AM26" s="346" t="str">
        <f>IF(AK26&gt;0,(AK26-AL26)/AL26*100,"")</f>
        <v/>
      </c>
      <c r="AN26" s="50"/>
      <c r="AO26" s="16">
        <f>AO25+1</f>
        <v>2</v>
      </c>
      <c r="AP26" s="8">
        <f>AK15</f>
        <v>0</v>
      </c>
      <c r="AQ26" s="8">
        <f>AL15</f>
        <v>0</v>
      </c>
      <c r="AR26" s="17" t="str">
        <f>AM15</f>
        <v/>
      </c>
      <c r="AS26" s="72">
        <f t="shared" si="5"/>
        <v>0</v>
      </c>
      <c r="AT26" s="72">
        <f t="shared" si="6"/>
        <v>0</v>
      </c>
      <c r="AU26" s="72">
        <f t="shared" si="7"/>
        <v>0</v>
      </c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</row>
    <row r="27" spans="1:58" ht="15.75" customHeight="1" x14ac:dyDescent="0.25">
      <c r="A27" s="928" t="s">
        <v>15</v>
      </c>
      <c r="B27" s="52" t="str">
        <f t="shared" si="8"/>
        <v/>
      </c>
      <c r="C27" s="374">
        <f t="shared" si="9"/>
        <v>22</v>
      </c>
      <c r="D27" s="392"/>
      <c r="E27" s="393"/>
      <c r="F27" s="394"/>
      <c r="G27" s="392"/>
      <c r="H27" s="403">
        <f t="shared" si="0"/>
        <v>0</v>
      </c>
      <c r="I27" s="418">
        <f>IF($Q$1&gt;0,TGsh!E25*$M$4%+TGsh!F25*(1-$M$4%),0)</f>
        <v>0</v>
      </c>
      <c r="J27" s="55">
        <f t="shared" si="11"/>
        <v>0</v>
      </c>
      <c r="K27" s="294" t="str">
        <f>$K$6</f>
        <v>Item</v>
      </c>
      <c r="L27" s="295" t="str">
        <f>$L$6</f>
        <v>#</v>
      </c>
      <c r="M27" s="295" t="str">
        <f>$M$6</f>
        <v>Real %</v>
      </c>
      <c r="N27" s="296" t="str">
        <f t="shared" ref="N27" si="35">$N$6</f>
        <v>Guia %</v>
      </c>
      <c r="O27" s="25"/>
      <c r="P27" s="31"/>
      <c r="Q27" s="31"/>
      <c r="R27" s="314">
        <f t="shared" si="12"/>
        <v>0</v>
      </c>
      <c r="S27" s="318"/>
      <c r="T27" s="31"/>
      <c r="U27" s="319"/>
      <c r="V27" s="34">
        <f t="shared" si="17"/>
        <v>0</v>
      </c>
      <c r="W27" s="305"/>
      <c r="X27" s="31"/>
      <c r="Y27" s="31"/>
      <c r="Z27" s="34">
        <f t="shared" si="33"/>
        <v>0</v>
      </c>
      <c r="AA27" s="364">
        <f t="shared" si="13"/>
        <v>0</v>
      </c>
      <c r="AB27" s="365">
        <f t="shared" si="1"/>
        <v>0</v>
      </c>
      <c r="AC27" s="366">
        <f t="shared" si="14"/>
        <v>0</v>
      </c>
      <c r="AD27" s="325">
        <f t="shared" si="2"/>
        <v>0</v>
      </c>
      <c r="AE27" s="326">
        <f t="shared" si="15"/>
        <v>0</v>
      </c>
      <c r="AF27" s="349">
        <f t="shared" si="3"/>
        <v>0</v>
      </c>
      <c r="AG27" s="28">
        <f t="shared" si="4"/>
        <v>0</v>
      </c>
      <c r="AH27" s="46">
        <f>IF($M$3&gt;0,TGsh!C25*$M$4%+TGsh!D25*(1-$M$4%),0)</f>
        <v>0</v>
      </c>
      <c r="AI27" s="347" t="str">
        <f>$AI$6</f>
        <v>Gr. Obten.</v>
      </c>
      <c r="AJ27" s="335" t="str">
        <f>$AJ$6</f>
        <v>Cons Sem</v>
      </c>
      <c r="AK27" s="3">
        <f>IF((J33+SUM(F27:F33))&gt;0,SUM(AD27:AD33)*40000/(J33+SUM(F27:F33)),0)</f>
        <v>0</v>
      </c>
      <c r="AL27" s="41">
        <f>SUMIF($AD27:$AD33,"&gt;0",AH27:AH33)</f>
        <v>0</v>
      </c>
      <c r="AM27" s="336" t="str">
        <f>IF(AK27&gt;0,(AK27-AL27)/AL27*100,"")</f>
        <v/>
      </c>
      <c r="AN27" s="50"/>
      <c r="AO27" s="16">
        <f t="shared" ref="AO27:AO32" si="36">AO26+1</f>
        <v>3</v>
      </c>
      <c r="AP27" s="8">
        <f>AK22</f>
        <v>0</v>
      </c>
      <c r="AQ27" s="8">
        <f>AL22</f>
        <v>0</v>
      </c>
      <c r="AR27" s="17" t="str">
        <f>AM22</f>
        <v/>
      </c>
      <c r="AS27" s="72">
        <f t="shared" si="5"/>
        <v>0</v>
      </c>
      <c r="AT27" s="72">
        <f t="shared" si="6"/>
        <v>0</v>
      </c>
      <c r="AU27" s="72">
        <f t="shared" si="7"/>
        <v>0</v>
      </c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</row>
    <row r="28" spans="1:58" ht="16.5" thickBot="1" x14ac:dyDescent="0.3">
      <c r="A28" s="929"/>
      <c r="B28" s="53" t="str">
        <f t="shared" si="8"/>
        <v/>
      </c>
      <c r="C28" s="375">
        <f t="shared" si="9"/>
        <v>23</v>
      </c>
      <c r="D28" s="395"/>
      <c r="E28" s="396"/>
      <c r="F28" s="397"/>
      <c r="G28" s="395"/>
      <c r="H28" s="404">
        <f t="shared" si="0"/>
        <v>0</v>
      </c>
      <c r="I28" s="421">
        <f>IF($Q$1&gt;0,TGsh!E26*$M$4%+TGsh!F26*(1-$M$4%),0)</f>
        <v>0</v>
      </c>
      <c r="J28" s="411">
        <f t="shared" si="11"/>
        <v>0</v>
      </c>
      <c r="K28" s="297" t="str">
        <f>$K$7</f>
        <v xml:space="preserve">Mort Sem </v>
      </c>
      <c r="L28" s="289">
        <f>SUM(D27:D33)</f>
        <v>0</v>
      </c>
      <c r="M28" s="429">
        <f>IF(J26&gt;0,L28/J26,0)</f>
        <v>0</v>
      </c>
      <c r="N28" s="430">
        <f ca="1">SUM(TGsh!G25:G31)</f>
        <v>0</v>
      </c>
      <c r="O28" s="26"/>
      <c r="P28" s="32"/>
      <c r="Q28" s="32"/>
      <c r="R28" s="315">
        <f t="shared" si="12"/>
        <v>0</v>
      </c>
      <c r="S28" s="320"/>
      <c r="T28" s="32"/>
      <c r="U28" s="321"/>
      <c r="V28" s="35">
        <f t="shared" si="17"/>
        <v>0</v>
      </c>
      <c r="W28" s="306"/>
      <c r="X28" s="306"/>
      <c r="Y28" s="306"/>
      <c r="Z28" s="35">
        <f t="shared" si="33"/>
        <v>0</v>
      </c>
      <c r="AA28" s="367">
        <f t="shared" si="13"/>
        <v>0</v>
      </c>
      <c r="AB28" s="368">
        <f t="shared" si="1"/>
        <v>0</v>
      </c>
      <c r="AC28" s="369">
        <f t="shared" si="14"/>
        <v>0</v>
      </c>
      <c r="AD28" s="327">
        <f t="shared" si="2"/>
        <v>0</v>
      </c>
      <c r="AE28" s="328">
        <f t="shared" si="15"/>
        <v>0</v>
      </c>
      <c r="AF28" s="350">
        <f t="shared" si="3"/>
        <v>0</v>
      </c>
      <c r="AG28" s="29">
        <f t="shared" si="4"/>
        <v>0</v>
      </c>
      <c r="AH28" s="47">
        <f>IF($M$3&gt;0,TGsh!C26*$M$4%+TGsh!D26*(1-$M$4%),0)</f>
        <v>0</v>
      </c>
      <c r="AI28" s="337">
        <f>IF(SUM(AD27:AD33)&gt;0,AVERAGEIF(AD27:AD33,"&gt;0",AG27:AG33),0)</f>
        <v>0</v>
      </c>
      <c r="AJ28" s="338" t="str">
        <f>$AJ$7</f>
        <v>Cons Acum</v>
      </c>
      <c r="AK28" s="339">
        <f>IF((J33+SUM(F$6:F33))&gt;0,SUM(AD$6:AD33)*40000/(J33+SUM(F$6:F33)),0)</f>
        <v>0</v>
      </c>
      <c r="AL28" s="340">
        <f>AL21+AL27</f>
        <v>0</v>
      </c>
      <c r="AM28" s="341" t="str">
        <f>IF(AK27&gt;0,(AK28-AL28)/AL28*100,"")</f>
        <v/>
      </c>
      <c r="AN28" s="50"/>
      <c r="AO28" s="16">
        <f t="shared" si="36"/>
        <v>4</v>
      </c>
      <c r="AP28" s="8">
        <f>AK29</f>
        <v>0</v>
      </c>
      <c r="AQ28" s="8">
        <f>AL29</f>
        <v>0</v>
      </c>
      <c r="AR28" s="17" t="str">
        <f>AM29</f>
        <v/>
      </c>
      <c r="AS28" s="72">
        <f t="shared" si="5"/>
        <v>0</v>
      </c>
      <c r="AT28" s="72">
        <f t="shared" si="6"/>
        <v>0</v>
      </c>
      <c r="AU28" s="72">
        <f t="shared" si="7"/>
        <v>0</v>
      </c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</row>
    <row r="29" spans="1:58" ht="16.5" thickBot="1" x14ac:dyDescent="0.3">
      <c r="A29" s="929"/>
      <c r="B29" s="53" t="str">
        <f t="shared" si="8"/>
        <v/>
      </c>
      <c r="C29" s="375">
        <f t="shared" si="9"/>
        <v>24</v>
      </c>
      <c r="D29" s="395"/>
      <c r="E29" s="396"/>
      <c r="F29" s="397"/>
      <c r="G29" s="395"/>
      <c r="H29" s="404">
        <f t="shared" si="0"/>
        <v>0</v>
      </c>
      <c r="I29" s="421">
        <f>IF($Q$1&gt;0,TGsh!E27*$M$4%+TGsh!F27*(1-$M$4%),0)</f>
        <v>0</v>
      </c>
      <c r="J29" s="411">
        <f t="shared" si="11"/>
        <v>0</v>
      </c>
      <c r="K29" s="298" t="str">
        <f>$K$8</f>
        <v xml:space="preserve">Sel Sem </v>
      </c>
      <c r="L29" s="290">
        <f>SUM(E27:E33)</f>
        <v>0</v>
      </c>
      <c r="M29" s="431">
        <f>IF(J26&gt;0,L29/J26,0)</f>
        <v>0</v>
      </c>
      <c r="N29" s="432">
        <v>0</v>
      </c>
      <c r="O29" s="26"/>
      <c r="P29" s="32"/>
      <c r="Q29" s="32"/>
      <c r="R29" s="315">
        <f t="shared" si="12"/>
        <v>0</v>
      </c>
      <c r="S29" s="320"/>
      <c r="T29" s="32"/>
      <c r="U29" s="321"/>
      <c r="V29" s="35">
        <f t="shared" si="17"/>
        <v>0</v>
      </c>
      <c r="W29" s="306"/>
      <c r="X29" s="306"/>
      <c r="Y29" s="306"/>
      <c r="Z29" s="35">
        <f t="shared" si="33"/>
        <v>0</v>
      </c>
      <c r="AA29" s="367">
        <f t="shared" si="13"/>
        <v>0</v>
      </c>
      <c r="AB29" s="368">
        <f t="shared" si="1"/>
        <v>0</v>
      </c>
      <c r="AC29" s="369">
        <f t="shared" si="14"/>
        <v>0</v>
      </c>
      <c r="AD29" s="327">
        <f t="shared" si="2"/>
        <v>0</v>
      </c>
      <c r="AE29" s="328">
        <f t="shared" si="15"/>
        <v>0</v>
      </c>
      <c r="AF29" s="350">
        <f t="shared" si="3"/>
        <v>0</v>
      </c>
      <c r="AG29" s="29">
        <f t="shared" si="4"/>
        <v>0</v>
      </c>
      <c r="AH29" s="47">
        <f>IF($M$3&gt;0,TGsh!C27*$M$4%+TGsh!D27*(1-$M$4%),0)</f>
        <v>0</v>
      </c>
      <c r="AI29" s="40" t="str">
        <f>$AI$8</f>
        <v>Gr. Guía</v>
      </c>
      <c r="AJ29" s="4" t="str">
        <f>$AJ$8</f>
        <v>Peso Sem</v>
      </c>
      <c r="AK29" s="332">
        <f>IF(SUM($F27:$F33)&gt;0,SUMPRODUCT($F27:$F33,H27:H33)/SUM($F27:$F33),0)</f>
        <v>0</v>
      </c>
      <c r="AL29" s="42">
        <f>IF($Q$1&gt;0,I33,0)</f>
        <v>0</v>
      </c>
      <c r="AM29" s="9" t="str">
        <f>IF(AK29&gt;0,(AK29-AL29)/AL29*100,"")</f>
        <v/>
      </c>
      <c r="AN29" s="50"/>
      <c r="AO29" s="16">
        <f t="shared" si="36"/>
        <v>5</v>
      </c>
      <c r="AP29" s="8">
        <f>AK36</f>
        <v>0</v>
      </c>
      <c r="AQ29" s="8">
        <f>AL36</f>
        <v>0</v>
      </c>
      <c r="AR29" s="17" t="str">
        <f>AM36</f>
        <v/>
      </c>
      <c r="AS29" s="72">
        <f t="shared" si="5"/>
        <v>0</v>
      </c>
      <c r="AT29" s="72">
        <f t="shared" si="6"/>
        <v>0</v>
      </c>
      <c r="AU29" s="72">
        <f t="shared" si="7"/>
        <v>0</v>
      </c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</row>
    <row r="30" spans="1:58" ht="15.75" x14ac:dyDescent="0.25">
      <c r="A30" s="929"/>
      <c r="B30" s="53" t="str">
        <f t="shared" si="8"/>
        <v/>
      </c>
      <c r="C30" s="375">
        <f t="shared" si="9"/>
        <v>25</v>
      </c>
      <c r="D30" s="395"/>
      <c r="E30" s="396"/>
      <c r="F30" s="397"/>
      <c r="G30" s="395"/>
      <c r="H30" s="404">
        <f t="shared" si="0"/>
        <v>0</v>
      </c>
      <c r="I30" s="421">
        <f>IF($Q$1&gt;0,TGsh!E28*$M$4%+TGsh!F28*(1-$M$4%),0)</f>
        <v>0</v>
      </c>
      <c r="J30" s="411">
        <f t="shared" si="11"/>
        <v>0</v>
      </c>
      <c r="K30" s="299" t="str">
        <f>$K$9</f>
        <v xml:space="preserve">Mort + Sel Sem </v>
      </c>
      <c r="L30" s="291">
        <f>SUM(L28:L29)</f>
        <v>0</v>
      </c>
      <c r="M30" s="433">
        <f>IF(J26&gt;0,L30/J26,0)</f>
        <v>0</v>
      </c>
      <c r="N30" s="434">
        <f t="shared" ref="N30" ca="1" si="37">SUM(N28:N29)</f>
        <v>0</v>
      </c>
      <c r="O30" s="26"/>
      <c r="P30" s="32"/>
      <c r="Q30" s="32"/>
      <c r="R30" s="315">
        <f t="shared" si="12"/>
        <v>0</v>
      </c>
      <c r="S30" s="320"/>
      <c r="T30" s="32"/>
      <c r="U30" s="321"/>
      <c r="V30" s="35">
        <f t="shared" si="17"/>
        <v>0</v>
      </c>
      <c r="W30" s="306"/>
      <c r="X30" s="306"/>
      <c r="Y30" s="306"/>
      <c r="Z30" s="35">
        <f t="shared" si="33"/>
        <v>0</v>
      </c>
      <c r="AA30" s="367">
        <f t="shared" si="13"/>
        <v>0</v>
      </c>
      <c r="AB30" s="368">
        <f t="shared" si="1"/>
        <v>0</v>
      </c>
      <c r="AC30" s="369">
        <f t="shared" si="14"/>
        <v>0</v>
      </c>
      <c r="AD30" s="327">
        <f t="shared" si="2"/>
        <v>0</v>
      </c>
      <c r="AE30" s="328">
        <f t="shared" si="15"/>
        <v>0</v>
      </c>
      <c r="AF30" s="350">
        <f t="shared" si="3"/>
        <v>0</v>
      </c>
      <c r="AG30" s="29">
        <f t="shared" si="4"/>
        <v>0</v>
      </c>
      <c r="AH30" s="47">
        <f>IF($M$3&gt;0,TGsh!C28*$M$4%+TGsh!D28*(1-$M$4%),0)</f>
        <v>0</v>
      </c>
      <c r="AI30" s="337">
        <f>IF(SUM(AD27:AD33)&gt;0,AVERAGEIF(AD27:AD33,"&gt;0",AH27:AH33),0)</f>
        <v>0</v>
      </c>
      <c r="AJ30" s="5" t="str">
        <f t="shared" ref="AJ30" si="38">AJ23</f>
        <v>Gan Dia</v>
      </c>
      <c r="AK30" s="6">
        <f>IF(AND(AK22&gt;0,AK29&gt;0),(AK29-AK22)/(COUNTIF(AD27:AD33,"&gt;0")),0)</f>
        <v>0</v>
      </c>
      <c r="AL30" s="43">
        <f>IF(AND(AL22&gt;0,AL29&gt;0,COUNTIF(AD27:AD33,"&gt;0")),(AL29-AL22)/COUNTIF(AD27:AD33,"&gt;0"),0)</f>
        <v>0</v>
      </c>
      <c r="AM30" s="10" t="str">
        <f>IF(AK30&gt;0,(AK30-AL30)/AL30*100,"")</f>
        <v/>
      </c>
      <c r="AN30" s="354"/>
      <c r="AO30" s="16">
        <f t="shared" si="36"/>
        <v>6</v>
      </c>
      <c r="AP30" s="8">
        <f>AK43</f>
        <v>0</v>
      </c>
      <c r="AQ30" s="8">
        <f>AL43</f>
        <v>0</v>
      </c>
      <c r="AR30" s="17" t="str">
        <f>AM43</f>
        <v/>
      </c>
      <c r="AS30" s="72">
        <f t="shared" si="5"/>
        <v>0</v>
      </c>
      <c r="AT30" s="72">
        <f t="shared" si="6"/>
        <v>0</v>
      </c>
      <c r="AU30" s="72">
        <f t="shared" si="7"/>
        <v>0</v>
      </c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</row>
    <row r="31" spans="1:58" ht="15.75" customHeight="1" x14ac:dyDescent="0.25">
      <c r="A31" s="929"/>
      <c r="B31" s="53" t="str">
        <f t="shared" si="8"/>
        <v/>
      </c>
      <c r="C31" s="375">
        <f t="shared" si="9"/>
        <v>26</v>
      </c>
      <c r="D31" s="395"/>
      <c r="E31" s="396"/>
      <c r="F31" s="397"/>
      <c r="G31" s="395"/>
      <c r="H31" s="404">
        <f t="shared" si="0"/>
        <v>0</v>
      </c>
      <c r="I31" s="421">
        <f>IF($Q$1&gt;0,TGsh!E29*$M$4%+TGsh!F29*(1-$M$4%),0)</f>
        <v>0</v>
      </c>
      <c r="J31" s="411">
        <f t="shared" si="11"/>
        <v>0</v>
      </c>
      <c r="K31" s="300" t="str">
        <f>$K$10</f>
        <v xml:space="preserve">Mort Acum </v>
      </c>
      <c r="L31" s="292">
        <f>L28+L24</f>
        <v>0</v>
      </c>
      <c r="M31" s="435">
        <f>IF($M$3&gt;0,L31/$M$3,0)</f>
        <v>0</v>
      </c>
      <c r="N31" s="436">
        <f ca="1">TGsh!H31</f>
        <v>0</v>
      </c>
      <c r="O31" s="26"/>
      <c r="P31" s="32"/>
      <c r="Q31" s="32"/>
      <c r="R31" s="315">
        <f t="shared" si="12"/>
        <v>0</v>
      </c>
      <c r="S31" s="320"/>
      <c r="T31" s="32"/>
      <c r="U31" s="321"/>
      <c r="V31" s="35">
        <f t="shared" si="17"/>
        <v>0</v>
      </c>
      <c r="W31" s="306"/>
      <c r="X31" s="306"/>
      <c r="Y31" s="306"/>
      <c r="Z31" s="35">
        <f t="shared" si="18"/>
        <v>0</v>
      </c>
      <c r="AA31" s="367">
        <f t="shared" si="13"/>
        <v>0</v>
      </c>
      <c r="AB31" s="368">
        <f t="shared" si="1"/>
        <v>0</v>
      </c>
      <c r="AC31" s="369">
        <f t="shared" si="14"/>
        <v>0</v>
      </c>
      <c r="AD31" s="327">
        <f t="shared" si="2"/>
        <v>0</v>
      </c>
      <c r="AE31" s="328">
        <f t="shared" si="15"/>
        <v>0</v>
      </c>
      <c r="AF31" s="350">
        <f t="shared" si="3"/>
        <v>0</v>
      </c>
      <c r="AG31" s="29">
        <f t="shared" si="4"/>
        <v>0</v>
      </c>
      <c r="AH31" s="47">
        <f>IF($M$3&gt;0,TGsh!C29*$M$4%+TGsh!D29*(1-$M$4%),0)</f>
        <v>0</v>
      </c>
      <c r="AI31" s="891" t="s">
        <v>46</v>
      </c>
      <c r="AJ31" s="7" t="str">
        <f>$AJ$10</f>
        <v>Conversión</v>
      </c>
      <c r="AK31" s="13">
        <f>IF(AK29&gt;0,AK28/AK29,0)</f>
        <v>0</v>
      </c>
      <c r="AL31" s="44">
        <f>IF(AL29&gt;0,AL28/AL29,0)</f>
        <v>0</v>
      </c>
      <c r="AM31" s="11" t="str">
        <f>IF(AK29&gt;0,-(AK31-AL31)/AL31*100,"")</f>
        <v/>
      </c>
      <c r="AN31" s="50"/>
      <c r="AO31" s="16">
        <f t="shared" si="36"/>
        <v>7</v>
      </c>
      <c r="AP31" s="8">
        <f>AK50</f>
        <v>0</v>
      </c>
      <c r="AQ31" s="8">
        <f>AL50</f>
        <v>0</v>
      </c>
      <c r="AR31" s="17" t="str">
        <f>AM50</f>
        <v/>
      </c>
      <c r="AS31" s="72">
        <f t="shared" si="5"/>
        <v>0</v>
      </c>
      <c r="AT31" s="72">
        <f t="shared" si="6"/>
        <v>0</v>
      </c>
      <c r="AU31" s="72">
        <f t="shared" si="7"/>
        <v>0</v>
      </c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</row>
    <row r="32" spans="1:58" ht="16.5" thickBot="1" x14ac:dyDescent="0.3">
      <c r="A32" s="929"/>
      <c r="B32" s="53" t="str">
        <f t="shared" si="8"/>
        <v/>
      </c>
      <c r="C32" s="375">
        <f t="shared" si="9"/>
        <v>27</v>
      </c>
      <c r="D32" s="395"/>
      <c r="E32" s="396"/>
      <c r="F32" s="397"/>
      <c r="G32" s="409"/>
      <c r="H32" s="405">
        <f t="shared" si="0"/>
        <v>0</v>
      </c>
      <c r="I32" s="420">
        <f>IF($Q$1&gt;0,TGsh!E30*$M$4%+TGsh!F30*(1-$M$4%),0)</f>
        <v>0</v>
      </c>
      <c r="J32" s="412">
        <f t="shared" si="11"/>
        <v>0</v>
      </c>
      <c r="K32" s="298" t="str">
        <f>$K$11</f>
        <v xml:space="preserve">Sel Acum </v>
      </c>
      <c r="L32" s="290">
        <f>L29+L25</f>
        <v>0</v>
      </c>
      <c r="M32" s="431">
        <f>IF($M$3&gt;0,L32/$M$3,0)</f>
        <v>0</v>
      </c>
      <c r="N32" s="437">
        <f t="shared" ref="N32" si="39">N29+N25</f>
        <v>0</v>
      </c>
      <c r="O32" s="26"/>
      <c r="P32" s="32"/>
      <c r="Q32" s="32"/>
      <c r="R32" s="315">
        <f t="shared" si="12"/>
        <v>0</v>
      </c>
      <c r="S32" s="320"/>
      <c r="T32" s="32"/>
      <c r="U32" s="321"/>
      <c r="V32" s="35">
        <f t="shared" si="17"/>
        <v>0</v>
      </c>
      <c r="W32" s="306"/>
      <c r="X32" s="306"/>
      <c r="Y32" s="306"/>
      <c r="Z32" s="35">
        <f t="shared" si="18"/>
        <v>0</v>
      </c>
      <c r="AA32" s="367">
        <f t="shared" si="13"/>
        <v>0</v>
      </c>
      <c r="AB32" s="368">
        <f t="shared" si="1"/>
        <v>0</v>
      </c>
      <c r="AC32" s="369">
        <f t="shared" si="14"/>
        <v>0</v>
      </c>
      <c r="AD32" s="327">
        <f t="shared" si="2"/>
        <v>0</v>
      </c>
      <c r="AE32" s="328">
        <f t="shared" si="15"/>
        <v>0</v>
      </c>
      <c r="AF32" s="350">
        <f t="shared" si="3"/>
        <v>0</v>
      </c>
      <c r="AG32" s="29">
        <f t="shared" si="4"/>
        <v>0</v>
      </c>
      <c r="AH32" s="47">
        <f>IF($M$3&gt;0,TGsh!C30*$M$4%+TGsh!D30*(1-$M$4%),0)</f>
        <v>0</v>
      </c>
      <c r="AI32" s="892"/>
      <c r="AJ32" s="7" t="str">
        <f>$AJ$11</f>
        <v>Ef. Alim</v>
      </c>
      <c r="AK32" s="12">
        <f>IF(AK31&gt;0,AK29/AK31/10,0)</f>
        <v>0</v>
      </c>
      <c r="AL32" s="45">
        <f>IF(AL31&gt;0,AL29/AL31/10,0)</f>
        <v>0</v>
      </c>
      <c r="AM32" s="11" t="str">
        <f>IF(AK32&gt;0,(AK32-AL32)/AL32*100,"")</f>
        <v/>
      </c>
      <c r="AN32" s="50"/>
      <c r="AO32" s="18">
        <f t="shared" si="36"/>
        <v>8</v>
      </c>
      <c r="AP32" s="22">
        <f>AK57</f>
        <v>0</v>
      </c>
      <c r="AQ32" s="22">
        <f t="shared" ref="AQ32:AR32" si="40">AL57</f>
        <v>0</v>
      </c>
      <c r="AR32" s="23" t="str">
        <f t="shared" si="40"/>
        <v/>
      </c>
      <c r="AS32" s="72">
        <f t="shared" si="5"/>
        <v>0</v>
      </c>
      <c r="AT32" s="72">
        <f t="shared" si="6"/>
        <v>0</v>
      </c>
      <c r="AU32" s="72">
        <f t="shared" si="7"/>
        <v>0</v>
      </c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</row>
    <row r="33" spans="1:58" ht="16.5" thickBot="1" x14ac:dyDescent="0.3">
      <c r="A33" s="930"/>
      <c r="B33" s="54" t="str">
        <f t="shared" si="8"/>
        <v/>
      </c>
      <c r="C33" s="376">
        <f t="shared" si="9"/>
        <v>28</v>
      </c>
      <c r="D33" s="400"/>
      <c r="E33" s="401"/>
      <c r="F33" s="402"/>
      <c r="G33" s="400"/>
      <c r="H33" s="406">
        <f t="shared" si="0"/>
        <v>0</v>
      </c>
      <c r="I33" s="419">
        <f>IF($Q$1&gt;0,TGsh!E31*$M$4%+TGsh!F31*(1-$M$4%),0)</f>
        <v>0</v>
      </c>
      <c r="J33" s="56">
        <f t="shared" si="11"/>
        <v>0</v>
      </c>
      <c r="K33" s="301" t="str">
        <f>$K$12</f>
        <v xml:space="preserve">Mort + Sel Acum </v>
      </c>
      <c r="L33" s="293">
        <f>L30+L26</f>
        <v>0</v>
      </c>
      <c r="M33" s="438">
        <f>IF($M$3&gt;0,L33/$M$3,0)</f>
        <v>0</v>
      </c>
      <c r="N33" s="439">
        <f t="shared" ref="N33" ca="1" si="41">SUM(N31:N32)</f>
        <v>0</v>
      </c>
      <c r="O33" s="27"/>
      <c r="P33" s="33"/>
      <c r="Q33" s="33"/>
      <c r="R33" s="316">
        <f t="shared" si="12"/>
        <v>0</v>
      </c>
      <c r="S33" s="322"/>
      <c r="T33" s="33"/>
      <c r="U33" s="323"/>
      <c r="V33" s="324">
        <f t="shared" si="17"/>
        <v>0</v>
      </c>
      <c r="W33" s="307"/>
      <c r="X33" s="307"/>
      <c r="Y33" s="307"/>
      <c r="Z33" s="36">
        <f t="shared" si="18"/>
        <v>0</v>
      </c>
      <c r="AA33" s="370">
        <f t="shared" si="13"/>
        <v>0</v>
      </c>
      <c r="AB33" s="371">
        <f t="shared" si="1"/>
        <v>0</v>
      </c>
      <c r="AC33" s="372">
        <f t="shared" si="14"/>
        <v>0</v>
      </c>
      <c r="AD33" s="351">
        <f t="shared" si="2"/>
        <v>0</v>
      </c>
      <c r="AE33" s="502">
        <f t="shared" si="15"/>
        <v>0</v>
      </c>
      <c r="AF33" s="352">
        <f t="shared" si="3"/>
        <v>0</v>
      </c>
      <c r="AG33" s="30">
        <f t="shared" si="4"/>
        <v>0</v>
      </c>
      <c r="AH33" s="48">
        <f>IF($M$3&gt;0,TGsh!C31*$M$4%+TGsh!D31*(1-$M$4%),0)</f>
        <v>0</v>
      </c>
      <c r="AI33" s="342">
        <f>IF('Liq-Zoot'!$F$31&gt;0,AK29/1000*J33/'Liq-Zoot'!$F$31,0)</f>
        <v>0</v>
      </c>
      <c r="AJ33" s="343" t="str">
        <f>$AJ$12</f>
        <v>Fact. IP</v>
      </c>
      <c r="AK33" s="344">
        <f>IF(AK31&gt;0,AK32/AK31,0)</f>
        <v>0</v>
      </c>
      <c r="AL33" s="345">
        <f>IF(AL31&gt;0,AL32/AL31,0)</f>
        <v>0</v>
      </c>
      <c r="AM33" s="346" t="str">
        <f>IF(AK33&gt;0,(AK33-AL33)/AL33*100,"")</f>
        <v/>
      </c>
      <c r="AN33" s="50"/>
      <c r="AO33" s="19" t="s">
        <v>9</v>
      </c>
      <c r="AP33" s="20" t="s">
        <v>32</v>
      </c>
      <c r="AQ33" s="20" t="s">
        <v>33</v>
      </c>
      <c r="AR33" s="21" t="s">
        <v>14</v>
      </c>
      <c r="AS33" s="72">
        <f t="shared" si="5"/>
        <v>0</v>
      </c>
      <c r="AT33" s="72">
        <f t="shared" si="6"/>
        <v>0</v>
      </c>
      <c r="AU33" s="72">
        <f t="shared" si="7"/>
        <v>0</v>
      </c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</row>
    <row r="34" spans="1:58" ht="15.75" customHeight="1" x14ac:dyDescent="0.25">
      <c r="A34" s="928" t="s">
        <v>19</v>
      </c>
      <c r="B34" s="52" t="str">
        <f t="shared" si="8"/>
        <v/>
      </c>
      <c r="C34" s="374">
        <f t="shared" si="9"/>
        <v>29</v>
      </c>
      <c r="D34" s="392"/>
      <c r="E34" s="393"/>
      <c r="F34" s="394"/>
      <c r="G34" s="392"/>
      <c r="H34" s="403">
        <f t="shared" si="0"/>
        <v>0</v>
      </c>
      <c r="I34" s="418">
        <f>IF($Q$1&gt;0,TGsh!E32*$M$4%+TGsh!F32*(1-$M$4%),0)</f>
        <v>0</v>
      </c>
      <c r="J34" s="55">
        <f t="shared" si="11"/>
        <v>0</v>
      </c>
      <c r="K34" s="294" t="str">
        <f>$K$6</f>
        <v>Item</v>
      </c>
      <c r="L34" s="295" t="str">
        <f>$L$6</f>
        <v>#</v>
      </c>
      <c r="M34" s="295" t="str">
        <f>$M$6</f>
        <v>Real %</v>
      </c>
      <c r="N34" s="296" t="str">
        <f t="shared" ref="N34" si="42">$N$6</f>
        <v>Guia %</v>
      </c>
      <c r="O34" s="25"/>
      <c r="P34" s="31"/>
      <c r="Q34" s="31"/>
      <c r="R34" s="314">
        <f t="shared" si="12"/>
        <v>0</v>
      </c>
      <c r="S34" s="318"/>
      <c r="T34" s="31"/>
      <c r="U34" s="319"/>
      <c r="V34" s="34">
        <f t="shared" si="17"/>
        <v>0</v>
      </c>
      <c r="W34" s="305"/>
      <c r="X34" s="305"/>
      <c r="Y34" s="305"/>
      <c r="Z34" s="34">
        <f t="shared" si="18"/>
        <v>0</v>
      </c>
      <c r="AA34" s="364">
        <f t="shared" si="13"/>
        <v>0</v>
      </c>
      <c r="AB34" s="365">
        <f t="shared" si="1"/>
        <v>0</v>
      </c>
      <c r="AC34" s="366">
        <f t="shared" si="14"/>
        <v>0</v>
      </c>
      <c r="AD34" s="325">
        <f t="shared" si="2"/>
        <v>0</v>
      </c>
      <c r="AE34" s="326">
        <f t="shared" si="15"/>
        <v>0</v>
      </c>
      <c r="AF34" s="349">
        <f t="shared" si="3"/>
        <v>0</v>
      </c>
      <c r="AG34" s="28">
        <f t="shared" si="4"/>
        <v>0</v>
      </c>
      <c r="AH34" s="46">
        <f>IF($M$3&gt;0,TGsh!C32*$M$4%+TGsh!D32*(1-$M$4%),0)</f>
        <v>0</v>
      </c>
      <c r="AI34" s="347" t="str">
        <f>$AI$6</f>
        <v>Gr. Obten.</v>
      </c>
      <c r="AJ34" s="335" t="str">
        <f>$AJ$6</f>
        <v>Cons Sem</v>
      </c>
      <c r="AK34" s="3">
        <f>IF((J40+SUM(F34:F40))&gt;0,SUM(AD34:AD40)*40000/(J40+SUM(F34:F40)),0)</f>
        <v>0</v>
      </c>
      <c r="AL34" s="41">
        <f>SUMIF($AD34:$AD40,"&gt;0",AH34:AH40)</f>
        <v>0</v>
      </c>
      <c r="AM34" s="336" t="str">
        <f>IF(AK34&gt;0,(AK34-AL34)/AL34*100,"")</f>
        <v/>
      </c>
      <c r="AN34" s="50"/>
      <c r="AO34" s="14">
        <v>1</v>
      </c>
      <c r="AP34" s="3">
        <f>AK11</f>
        <v>0</v>
      </c>
      <c r="AQ34" s="3">
        <f t="shared" ref="AQ34:AR34" si="43">AL11</f>
        <v>0</v>
      </c>
      <c r="AR34" s="15" t="str">
        <f t="shared" si="43"/>
        <v/>
      </c>
      <c r="AS34" s="72">
        <f t="shared" si="5"/>
        <v>0</v>
      </c>
      <c r="AT34" s="72">
        <f t="shared" si="6"/>
        <v>0</v>
      </c>
      <c r="AU34" s="72">
        <f t="shared" si="7"/>
        <v>0</v>
      </c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</row>
    <row r="35" spans="1:58" ht="16.5" thickBot="1" x14ac:dyDescent="0.3">
      <c r="A35" s="929"/>
      <c r="B35" s="53" t="str">
        <f t="shared" si="8"/>
        <v/>
      </c>
      <c r="C35" s="375">
        <f t="shared" si="9"/>
        <v>30</v>
      </c>
      <c r="D35" s="395"/>
      <c r="E35" s="396"/>
      <c r="F35" s="397"/>
      <c r="G35" s="395"/>
      <c r="H35" s="404">
        <f t="shared" si="0"/>
        <v>0</v>
      </c>
      <c r="I35" s="421">
        <f>IF($Q$1&gt;0,TGsh!E33*$M$4%+TGsh!F33*(1-$M$4%),0)</f>
        <v>0</v>
      </c>
      <c r="J35" s="411">
        <f t="shared" si="11"/>
        <v>0</v>
      </c>
      <c r="K35" s="297" t="str">
        <f>$K$7</f>
        <v xml:space="preserve">Mort Sem </v>
      </c>
      <c r="L35" s="289">
        <f>SUM(D34:D40)</f>
        <v>0</v>
      </c>
      <c r="M35" s="429">
        <f>IF(J33&gt;0,L35/J33,0)</f>
        <v>0</v>
      </c>
      <c r="N35" s="430">
        <f ca="1">SUM(TGsh!G32:G38)</f>
        <v>0</v>
      </c>
      <c r="O35" s="26"/>
      <c r="P35" s="32"/>
      <c r="Q35" s="32"/>
      <c r="R35" s="315">
        <f t="shared" si="12"/>
        <v>0</v>
      </c>
      <c r="S35" s="320"/>
      <c r="T35" s="32"/>
      <c r="U35" s="321"/>
      <c r="V35" s="35">
        <f t="shared" si="17"/>
        <v>0</v>
      </c>
      <c r="W35" s="306"/>
      <c r="X35" s="306"/>
      <c r="Y35" s="306"/>
      <c r="Z35" s="35">
        <f t="shared" si="18"/>
        <v>0</v>
      </c>
      <c r="AA35" s="367">
        <f t="shared" si="13"/>
        <v>0</v>
      </c>
      <c r="AB35" s="368">
        <f t="shared" si="1"/>
        <v>0</v>
      </c>
      <c r="AC35" s="369">
        <f t="shared" si="14"/>
        <v>0</v>
      </c>
      <c r="AD35" s="327">
        <f t="shared" si="2"/>
        <v>0</v>
      </c>
      <c r="AE35" s="328">
        <f t="shared" si="15"/>
        <v>0</v>
      </c>
      <c r="AF35" s="350">
        <f t="shared" si="3"/>
        <v>0</v>
      </c>
      <c r="AG35" s="29">
        <f t="shared" si="4"/>
        <v>0</v>
      </c>
      <c r="AH35" s="47">
        <f>IF($M$3&gt;0,TGsh!C33*$M$4%+TGsh!D33*(1-$M$4%),0)</f>
        <v>0</v>
      </c>
      <c r="AI35" s="337">
        <f>IF(SUM(AD34:AD40)&gt;0,AVERAGEIF(AD34:AD40,"&gt;0",AG34:AG40),0)</f>
        <v>0</v>
      </c>
      <c r="AJ35" s="338" t="str">
        <f>$AJ$7</f>
        <v>Cons Acum</v>
      </c>
      <c r="AK35" s="339">
        <f>IF((J40+SUM(F$6:F40))&gt;0,SUM(AD$6:AD40)*40000/(J40+SUM(F$6:F40)),0)</f>
        <v>0</v>
      </c>
      <c r="AL35" s="340">
        <f>AL28+AL34</f>
        <v>0</v>
      </c>
      <c r="AM35" s="341" t="str">
        <f>IF(AK34&gt;0,(AK35-AL35)/AL35*100,"")</f>
        <v/>
      </c>
      <c r="AN35" s="50"/>
      <c r="AO35" s="16">
        <f>AO34+1</f>
        <v>2</v>
      </c>
      <c r="AP35" s="8">
        <f>AK18</f>
        <v>0</v>
      </c>
      <c r="AQ35" s="8">
        <f t="shared" ref="AQ35:AR35" si="44">AL18</f>
        <v>0</v>
      </c>
      <c r="AR35" s="17" t="str">
        <f t="shared" si="44"/>
        <v/>
      </c>
      <c r="AS35" s="72">
        <f t="shared" si="5"/>
        <v>0</v>
      </c>
      <c r="AT35" s="72">
        <f t="shared" si="6"/>
        <v>0</v>
      </c>
      <c r="AU35" s="72">
        <f t="shared" si="7"/>
        <v>0</v>
      </c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</row>
    <row r="36" spans="1:58" ht="16.5" thickBot="1" x14ac:dyDescent="0.3">
      <c r="A36" s="929"/>
      <c r="B36" s="53" t="str">
        <f t="shared" si="8"/>
        <v/>
      </c>
      <c r="C36" s="375">
        <f t="shared" si="9"/>
        <v>31</v>
      </c>
      <c r="D36" s="395"/>
      <c r="E36" s="396"/>
      <c r="F36" s="397"/>
      <c r="G36" s="395"/>
      <c r="H36" s="404">
        <f t="shared" si="0"/>
        <v>0</v>
      </c>
      <c r="I36" s="421">
        <f>IF($Q$1&gt;0,TGsh!E34*$M$4%+TGsh!F34*(1-$M$4%),0)</f>
        <v>0</v>
      </c>
      <c r="J36" s="411">
        <f t="shared" si="11"/>
        <v>0</v>
      </c>
      <c r="K36" s="298" t="str">
        <f>$K$8</f>
        <v xml:space="preserve">Sel Sem </v>
      </c>
      <c r="L36" s="290">
        <f>SUM(E34:E40)</f>
        <v>0</v>
      </c>
      <c r="M36" s="431">
        <f>IF(J33&gt;0,L36/J33,0)</f>
        <v>0</v>
      </c>
      <c r="N36" s="432">
        <v>0</v>
      </c>
      <c r="O36" s="26"/>
      <c r="P36" s="32"/>
      <c r="Q36" s="32"/>
      <c r="R36" s="315">
        <f t="shared" si="12"/>
        <v>0</v>
      </c>
      <c r="S36" s="320"/>
      <c r="T36" s="32"/>
      <c r="U36" s="321"/>
      <c r="V36" s="35">
        <f t="shared" si="17"/>
        <v>0</v>
      </c>
      <c r="W36" s="306"/>
      <c r="X36" s="306"/>
      <c r="Y36" s="306"/>
      <c r="Z36" s="35">
        <f t="shared" si="18"/>
        <v>0</v>
      </c>
      <c r="AA36" s="367">
        <f t="shared" si="13"/>
        <v>0</v>
      </c>
      <c r="AB36" s="368">
        <f t="shared" si="1"/>
        <v>0</v>
      </c>
      <c r="AC36" s="369">
        <f t="shared" si="14"/>
        <v>0</v>
      </c>
      <c r="AD36" s="327">
        <f t="shared" si="2"/>
        <v>0</v>
      </c>
      <c r="AE36" s="328">
        <f t="shared" si="15"/>
        <v>0</v>
      </c>
      <c r="AF36" s="350">
        <f t="shared" si="3"/>
        <v>0</v>
      </c>
      <c r="AG36" s="29">
        <f t="shared" si="4"/>
        <v>0</v>
      </c>
      <c r="AH36" s="47">
        <f>IF($M$3&gt;0,TGsh!C34*$M$4%+TGsh!D34*(1-$M$4%),0)</f>
        <v>0</v>
      </c>
      <c r="AI36" s="40" t="str">
        <f>$AI$8</f>
        <v>Gr. Guía</v>
      </c>
      <c r="AJ36" s="4" t="str">
        <f>$AJ$8</f>
        <v>Peso Sem</v>
      </c>
      <c r="AK36" s="332">
        <f>IF(SUM($F34:$F40)&gt;0,SUMPRODUCT($F34:$F40,H34:H40)/SUM($F34:$F40),0)</f>
        <v>0</v>
      </c>
      <c r="AL36" s="42">
        <f>IF($Q$1&gt;0,I40,0)</f>
        <v>0</v>
      </c>
      <c r="AM36" s="9" t="str">
        <f>IF(AK36&gt;0,(AK36-AL36)/AL36*100,"")</f>
        <v/>
      </c>
      <c r="AN36" s="50"/>
      <c r="AO36" s="16">
        <f t="shared" ref="AO36:AO41" si="45">AO35+1</f>
        <v>3</v>
      </c>
      <c r="AP36" s="8">
        <f>AK25</f>
        <v>0</v>
      </c>
      <c r="AQ36" s="8">
        <f t="shared" ref="AQ36:AR36" si="46">AL25</f>
        <v>0</v>
      </c>
      <c r="AR36" s="17" t="str">
        <f t="shared" si="46"/>
        <v/>
      </c>
      <c r="AS36" s="72">
        <f t="shared" si="5"/>
        <v>0</v>
      </c>
      <c r="AT36" s="72">
        <f t="shared" si="6"/>
        <v>0</v>
      </c>
      <c r="AU36" s="72">
        <f t="shared" si="7"/>
        <v>0</v>
      </c>
      <c r="AV36" s="50"/>
      <c r="AW36" s="50"/>
      <c r="AX36" s="50"/>
      <c r="AY36" s="50"/>
      <c r="AZ36" s="19" t="s">
        <v>9</v>
      </c>
      <c r="BA36" s="20" t="s">
        <v>47</v>
      </c>
      <c r="BB36" s="20" t="s">
        <v>48</v>
      </c>
      <c r="BC36" s="21" t="s">
        <v>14</v>
      </c>
      <c r="BD36" s="50"/>
      <c r="BE36" s="50"/>
      <c r="BF36" s="50"/>
    </row>
    <row r="37" spans="1:58" ht="15.75" x14ac:dyDescent="0.25">
      <c r="A37" s="929"/>
      <c r="B37" s="53" t="str">
        <f t="shared" si="8"/>
        <v/>
      </c>
      <c r="C37" s="375">
        <f t="shared" si="9"/>
        <v>32</v>
      </c>
      <c r="D37" s="395"/>
      <c r="E37" s="396"/>
      <c r="F37" s="397"/>
      <c r="G37" s="395"/>
      <c r="H37" s="404">
        <f t="shared" si="0"/>
        <v>0</v>
      </c>
      <c r="I37" s="421">
        <f>IF($Q$1&gt;0,TGsh!E35*$M$4%+TGsh!F35*(1-$M$4%),0)</f>
        <v>0</v>
      </c>
      <c r="J37" s="411">
        <f t="shared" si="11"/>
        <v>0</v>
      </c>
      <c r="K37" s="299" t="str">
        <f>$K$9</f>
        <v xml:space="preserve">Mort + Sel Sem </v>
      </c>
      <c r="L37" s="291">
        <f>SUM(L35:L36)</f>
        <v>0</v>
      </c>
      <c r="M37" s="433">
        <f>IF(J33&gt;0,L37/J33,0)</f>
        <v>0</v>
      </c>
      <c r="N37" s="434">
        <f t="shared" ref="N37" ca="1" si="47">SUM(N35:N36)</f>
        <v>0</v>
      </c>
      <c r="O37" s="26"/>
      <c r="P37" s="32"/>
      <c r="Q37" s="32"/>
      <c r="R37" s="315">
        <f t="shared" si="12"/>
        <v>0</v>
      </c>
      <c r="S37" s="320"/>
      <c r="T37" s="32"/>
      <c r="U37" s="321"/>
      <c r="V37" s="35">
        <f t="shared" si="17"/>
        <v>0</v>
      </c>
      <c r="W37" s="306"/>
      <c r="X37" s="306"/>
      <c r="Y37" s="306"/>
      <c r="Z37" s="35">
        <f t="shared" si="18"/>
        <v>0</v>
      </c>
      <c r="AA37" s="367">
        <f t="shared" si="13"/>
        <v>0</v>
      </c>
      <c r="AB37" s="368">
        <f t="shared" si="1"/>
        <v>0</v>
      </c>
      <c r="AC37" s="369">
        <f t="shared" si="14"/>
        <v>0</v>
      </c>
      <c r="AD37" s="327">
        <f t="shared" si="2"/>
        <v>0</v>
      </c>
      <c r="AE37" s="328">
        <f t="shared" si="15"/>
        <v>0</v>
      </c>
      <c r="AF37" s="350">
        <f t="shared" si="3"/>
        <v>0</v>
      </c>
      <c r="AG37" s="29">
        <f t="shared" si="4"/>
        <v>0</v>
      </c>
      <c r="AH37" s="47">
        <f>IF($M$3&gt;0,TGsh!C35*$M$4%+TGsh!D35*(1-$M$4%),0)</f>
        <v>0</v>
      </c>
      <c r="AI37" s="337">
        <f>IF(SUM(AD34:AD40)&gt;0,AVERAGEIF(AD34:AD40,"&gt;0",AH34:AH40),0)</f>
        <v>0</v>
      </c>
      <c r="AJ37" s="5" t="str">
        <f t="shared" ref="AJ37" si="48">AJ30</f>
        <v>Gan Dia</v>
      </c>
      <c r="AK37" s="6">
        <f>IF(AND(AK29&gt;0,AK36&gt;0),(AK36-AK29)/(COUNTIF(AD34:AD40,"&gt;0")),0)</f>
        <v>0</v>
      </c>
      <c r="AL37" s="43">
        <f>IF(AND(AL29&gt;0,AL36&gt;0,COUNTIF(AD34:AD40,"&gt;0")),(AL36-AL29)/COUNTIF(AD34:AD40,"&gt;0"),0)</f>
        <v>0</v>
      </c>
      <c r="AM37" s="10" t="str">
        <f>IF(AK37&gt;0,(AK37-AL37)/AL37*100,"")</f>
        <v/>
      </c>
      <c r="AN37" s="354"/>
      <c r="AO37" s="16">
        <f t="shared" si="45"/>
        <v>4</v>
      </c>
      <c r="AP37" s="8">
        <f>AK32</f>
        <v>0</v>
      </c>
      <c r="AQ37" s="8">
        <f t="shared" ref="AQ37:AR37" si="49">AL32</f>
        <v>0</v>
      </c>
      <c r="AR37" s="17" t="str">
        <f t="shared" si="49"/>
        <v/>
      </c>
      <c r="AS37" s="72">
        <f t="shared" si="5"/>
        <v>0</v>
      </c>
      <c r="AT37" s="72">
        <f t="shared" si="6"/>
        <v>0</v>
      </c>
      <c r="AU37" s="72">
        <f t="shared" si="7"/>
        <v>0</v>
      </c>
      <c r="AV37" s="50"/>
      <c r="AW37" s="50"/>
      <c r="AX37" s="50"/>
      <c r="AY37" s="50"/>
      <c r="AZ37" s="14">
        <v>1</v>
      </c>
      <c r="BA37" s="3">
        <f>AI12</f>
        <v>0</v>
      </c>
      <c r="BB37" s="3">
        <f>IF('Liq-Zoot'!$E$31&gt;0,AL8/1000*J12/'Liq-Zoot'!$E$31,0)</f>
        <v>0</v>
      </c>
      <c r="BC37" s="15" t="str">
        <f>IF(BA37&gt;0,(BA37-BB37)/BB37*100,"")</f>
        <v/>
      </c>
      <c r="BD37" s="50"/>
      <c r="BE37" s="50"/>
      <c r="BF37" s="50"/>
    </row>
    <row r="38" spans="1:58" ht="15.75" customHeight="1" x14ac:dyDescent="0.25">
      <c r="A38" s="929"/>
      <c r="B38" s="53" t="str">
        <f t="shared" si="8"/>
        <v/>
      </c>
      <c r="C38" s="375">
        <f t="shared" si="9"/>
        <v>33</v>
      </c>
      <c r="D38" s="395"/>
      <c r="E38" s="396"/>
      <c r="F38" s="397"/>
      <c r="G38" s="395"/>
      <c r="H38" s="404">
        <f t="shared" si="0"/>
        <v>0</v>
      </c>
      <c r="I38" s="421">
        <f>IF($Q$1&gt;0,TGsh!E36*$M$4%+TGsh!F36*(1-$M$4%),0)</f>
        <v>0</v>
      </c>
      <c r="J38" s="411">
        <f t="shared" si="11"/>
        <v>0</v>
      </c>
      <c r="K38" s="300" t="str">
        <f>$K$10</f>
        <v xml:space="preserve">Mort Acum </v>
      </c>
      <c r="L38" s="292">
        <f>L35+L31</f>
        <v>0</v>
      </c>
      <c r="M38" s="435">
        <f>IF($M$3&gt;0,L38/$M$3,0)</f>
        <v>0</v>
      </c>
      <c r="N38" s="436">
        <f ca="1">TGsh!H38</f>
        <v>0</v>
      </c>
      <c r="O38" s="26"/>
      <c r="P38" s="32"/>
      <c r="Q38" s="32"/>
      <c r="R38" s="315">
        <f t="shared" si="12"/>
        <v>0</v>
      </c>
      <c r="S38" s="320"/>
      <c r="T38" s="32"/>
      <c r="U38" s="321"/>
      <c r="V38" s="35">
        <f t="shared" si="17"/>
        <v>0</v>
      </c>
      <c r="W38" s="306"/>
      <c r="X38" s="306"/>
      <c r="Y38" s="306"/>
      <c r="Z38" s="35">
        <f t="shared" si="18"/>
        <v>0</v>
      </c>
      <c r="AA38" s="367">
        <f t="shared" si="13"/>
        <v>0</v>
      </c>
      <c r="AB38" s="368">
        <f t="shared" ref="AB38:AB61" si="50">Q38+U38+Y38</f>
        <v>0</v>
      </c>
      <c r="AC38" s="369">
        <f t="shared" si="14"/>
        <v>0</v>
      </c>
      <c r="AD38" s="327">
        <f t="shared" ref="AD38:AD61" si="51">IF(P$5="Bulto X 40 K",P38,P38/40)+IF(T$5="Bulto X 40 K",T38,T38/40)+IF(X$5="Bulto X 40 K",X38,X38/40)</f>
        <v>0</v>
      </c>
      <c r="AE38" s="328">
        <f t="shared" si="15"/>
        <v>0</v>
      </c>
      <c r="AF38" s="350">
        <f t="shared" ref="AF38:AF61" si="52">MROUND(AH38*SUM(D38:F38,J38)/40000,0.1)</f>
        <v>0</v>
      </c>
      <c r="AG38" s="29">
        <f t="shared" ref="AG38:AG61" si="53">IF((J38+F38)&gt;0,AD38*40000/(J38+F38),0)</f>
        <v>0</v>
      </c>
      <c r="AH38" s="47">
        <f>IF($M$3&gt;0,TGsh!C36*$M$4%+TGsh!D36*(1-$M$4%),0)</f>
        <v>0</v>
      </c>
      <c r="AI38" s="891" t="s">
        <v>46</v>
      </c>
      <c r="AJ38" s="7" t="str">
        <f>$AJ$10</f>
        <v>Conversión</v>
      </c>
      <c r="AK38" s="13">
        <f>IF(AK36&gt;0,AK35/AK36,0)</f>
        <v>0</v>
      </c>
      <c r="AL38" s="44">
        <f>IF(AL36&gt;0,AL35/AL36,0)</f>
        <v>0</v>
      </c>
      <c r="AM38" s="11" t="str">
        <f>IF(AK36&gt;0,-(AK38-AL38)/AL38*100,"")</f>
        <v/>
      </c>
      <c r="AN38" s="50"/>
      <c r="AO38" s="16">
        <f t="shared" si="45"/>
        <v>5</v>
      </c>
      <c r="AP38" s="8">
        <f>AK39</f>
        <v>0</v>
      </c>
      <c r="AQ38" s="8">
        <f t="shared" ref="AQ38:AR38" si="54">AL39</f>
        <v>0</v>
      </c>
      <c r="AR38" s="17" t="str">
        <f t="shared" si="54"/>
        <v/>
      </c>
      <c r="AS38" s="72">
        <f t="shared" ref="AS38:AS61" si="55">IF(($P38+$T38+$X38)&gt;0,P38/($P38+$T38+$X38),0)</f>
        <v>0</v>
      </c>
      <c r="AT38" s="72">
        <f t="shared" ref="AT38:AT61" si="56">IF(($P38+$T38+$X38)&gt;0,T38/($P38+$T38+$X38),0)</f>
        <v>0</v>
      </c>
      <c r="AU38" s="72">
        <f t="shared" ref="AU38:AU61" si="57">IF(($P38+$T38+$X38)&gt;0,X38/($P38+$T38+$X38),0)</f>
        <v>0</v>
      </c>
      <c r="AV38" s="50"/>
      <c r="AW38" s="50"/>
      <c r="AX38" s="50"/>
      <c r="AY38" s="50"/>
      <c r="AZ38" s="16">
        <f>AZ37+1</f>
        <v>2</v>
      </c>
      <c r="BA38" s="8">
        <f>AI19</f>
        <v>0</v>
      </c>
      <c r="BB38" s="8">
        <f>IF('Liq-Zoot'!$E$31&gt;0,AL15/1000*J19/'Liq-Zoot'!$E$31,0)</f>
        <v>0</v>
      </c>
      <c r="BC38" s="17" t="str">
        <f t="shared" ref="BC38:BC44" si="58">IF(BA38&gt;0,(BA38-BB38)/BB38*100,"")</f>
        <v/>
      </c>
      <c r="BD38" s="50"/>
      <c r="BE38" s="50"/>
      <c r="BF38" s="50"/>
    </row>
    <row r="39" spans="1:58" ht="15.75" x14ac:dyDescent="0.25">
      <c r="A39" s="929"/>
      <c r="B39" s="53" t="str">
        <f t="shared" si="8"/>
        <v/>
      </c>
      <c r="C39" s="375">
        <f t="shared" ref="C39:C61" si="59">C38+1</f>
        <v>34</v>
      </c>
      <c r="D39" s="395"/>
      <c r="E39" s="396"/>
      <c r="F39" s="397"/>
      <c r="G39" s="409"/>
      <c r="H39" s="405">
        <f t="shared" si="0"/>
        <v>0</v>
      </c>
      <c r="I39" s="420">
        <f>IF($Q$1&gt;0,TGsh!E37*$M$4%+TGsh!F37*(1-$M$4%),0)</f>
        <v>0</v>
      </c>
      <c r="J39" s="412">
        <f t="shared" ref="J39:J61" si="60">J38-SUM(D39:E39)-F39</f>
        <v>0</v>
      </c>
      <c r="K39" s="298" t="str">
        <f>$K$11</f>
        <v xml:space="preserve">Sel Acum </v>
      </c>
      <c r="L39" s="290">
        <f>L36+L32</f>
        <v>0</v>
      </c>
      <c r="M39" s="431">
        <f>IF($M$3&gt;0,L39/$M$3,0)</f>
        <v>0</v>
      </c>
      <c r="N39" s="437">
        <f t="shared" ref="N39" si="61">N36+N32</f>
        <v>0</v>
      </c>
      <c r="O39" s="26"/>
      <c r="P39" s="32"/>
      <c r="Q39" s="32"/>
      <c r="R39" s="315">
        <f t="shared" ref="R39:R61" si="62">R38+O39-IF(P$5="Bulto X 40 K",P39,P39/40)-Q39</f>
        <v>0</v>
      </c>
      <c r="S39" s="320"/>
      <c r="T39" s="32"/>
      <c r="U39" s="321"/>
      <c r="V39" s="35">
        <f t="shared" si="17"/>
        <v>0</v>
      </c>
      <c r="W39" s="306"/>
      <c r="X39" s="306"/>
      <c r="Y39" s="306"/>
      <c r="Z39" s="35">
        <f t="shared" si="18"/>
        <v>0</v>
      </c>
      <c r="AA39" s="367">
        <f t="shared" si="13"/>
        <v>0</v>
      </c>
      <c r="AB39" s="368">
        <f t="shared" si="50"/>
        <v>0</v>
      </c>
      <c r="AC39" s="369">
        <f t="shared" ref="AC39:AC61" si="63">AC38+AA39-AD39-AB39</f>
        <v>0</v>
      </c>
      <c r="AD39" s="327">
        <f t="shared" si="51"/>
        <v>0</v>
      </c>
      <c r="AE39" s="328">
        <f t="shared" ref="AE39:AE61" si="64">AE38+AD39</f>
        <v>0</v>
      </c>
      <c r="AF39" s="350">
        <f t="shared" si="52"/>
        <v>0</v>
      </c>
      <c r="AG39" s="29">
        <f t="shared" si="53"/>
        <v>0</v>
      </c>
      <c r="AH39" s="47">
        <f>IF($M$3&gt;0,TGsh!C37*$M$4%+TGsh!D37*(1-$M$4%),0)</f>
        <v>0</v>
      </c>
      <c r="AI39" s="892"/>
      <c r="AJ39" s="7" t="str">
        <f>$AJ$11</f>
        <v>Ef. Alim</v>
      </c>
      <c r="AK39" s="12">
        <f>IF(AK38&gt;0,AK36/AK38/10,0)</f>
        <v>0</v>
      </c>
      <c r="AL39" s="45">
        <f>IF(AL38&gt;0,AL36/AL38/10,0)</f>
        <v>0</v>
      </c>
      <c r="AM39" s="11" t="str">
        <f>IF(AK39&gt;0,(AK39-AL39)/AL39*100,"")</f>
        <v/>
      </c>
      <c r="AN39" s="50"/>
      <c r="AO39" s="16">
        <f t="shared" si="45"/>
        <v>6</v>
      </c>
      <c r="AP39" s="8">
        <f>AK46</f>
        <v>0</v>
      </c>
      <c r="AQ39" s="8">
        <f t="shared" ref="AQ39:AR39" si="65">AL46</f>
        <v>0</v>
      </c>
      <c r="AR39" s="17" t="str">
        <f t="shared" si="65"/>
        <v/>
      </c>
      <c r="AS39" s="72">
        <f t="shared" si="55"/>
        <v>0</v>
      </c>
      <c r="AT39" s="72">
        <f t="shared" si="56"/>
        <v>0</v>
      </c>
      <c r="AU39" s="72">
        <f t="shared" si="57"/>
        <v>0</v>
      </c>
      <c r="AV39" s="50"/>
      <c r="AW39" s="50"/>
      <c r="AX39" s="50"/>
      <c r="AY39" s="50"/>
      <c r="AZ39" s="16">
        <f t="shared" ref="AZ39:AZ44" si="66">AZ38+1</f>
        <v>3</v>
      </c>
      <c r="BA39" s="8">
        <f>AI26</f>
        <v>0</v>
      </c>
      <c r="BB39" s="8">
        <f>IF('Liq-Zoot'!$E$31&gt;0,AL22/1000*J26/'Liq-Zoot'!$E$31,0)</f>
        <v>0</v>
      </c>
      <c r="BC39" s="17" t="str">
        <f t="shared" si="58"/>
        <v/>
      </c>
      <c r="BD39" s="50"/>
      <c r="BE39" s="50"/>
      <c r="BF39" s="50"/>
    </row>
    <row r="40" spans="1:58" ht="16.5" thickBot="1" x14ac:dyDescent="0.3">
      <c r="A40" s="930"/>
      <c r="B40" s="54" t="str">
        <f t="shared" si="8"/>
        <v/>
      </c>
      <c r="C40" s="376">
        <f t="shared" si="59"/>
        <v>35</v>
      </c>
      <c r="D40" s="400"/>
      <c r="E40" s="401"/>
      <c r="F40" s="402"/>
      <c r="G40" s="400"/>
      <c r="H40" s="406">
        <f t="shared" si="0"/>
        <v>0</v>
      </c>
      <c r="I40" s="419">
        <f>IF($Q$1&gt;0,TGsh!E38*$M$4%+TGsh!F38*(1-$M$4%),0)</f>
        <v>0</v>
      </c>
      <c r="J40" s="56">
        <f t="shared" si="60"/>
        <v>0</v>
      </c>
      <c r="K40" s="301" t="str">
        <f>$K$12</f>
        <v xml:space="preserve">Mort + Sel Acum </v>
      </c>
      <c r="L40" s="293">
        <f>L37+L33</f>
        <v>0</v>
      </c>
      <c r="M40" s="438">
        <f>IF($M$3&gt;0,L40/$M$3,0)</f>
        <v>0</v>
      </c>
      <c r="N40" s="439">
        <f t="shared" ref="N40" ca="1" si="67">SUM(N38:N39)</f>
        <v>0</v>
      </c>
      <c r="O40" s="27"/>
      <c r="P40" s="33"/>
      <c r="Q40" s="33"/>
      <c r="R40" s="316">
        <f t="shared" si="62"/>
        <v>0</v>
      </c>
      <c r="S40" s="322"/>
      <c r="T40" s="33"/>
      <c r="U40" s="323"/>
      <c r="V40" s="324">
        <f t="shared" si="17"/>
        <v>0</v>
      </c>
      <c r="W40" s="307"/>
      <c r="X40" s="307"/>
      <c r="Y40" s="307"/>
      <c r="Z40" s="36">
        <f t="shared" si="18"/>
        <v>0</v>
      </c>
      <c r="AA40" s="370">
        <f t="shared" si="13"/>
        <v>0</v>
      </c>
      <c r="AB40" s="371">
        <f t="shared" si="50"/>
        <v>0</v>
      </c>
      <c r="AC40" s="372">
        <f t="shared" si="63"/>
        <v>0</v>
      </c>
      <c r="AD40" s="351">
        <f t="shared" si="51"/>
        <v>0</v>
      </c>
      <c r="AE40" s="502">
        <f t="shared" si="64"/>
        <v>0</v>
      </c>
      <c r="AF40" s="352">
        <f t="shared" si="52"/>
        <v>0</v>
      </c>
      <c r="AG40" s="30">
        <f t="shared" si="53"/>
        <v>0</v>
      </c>
      <c r="AH40" s="48">
        <f>IF($M$3&gt;0,TGsh!C38*$M$4%+TGsh!D38*(1-$M$4%),0)</f>
        <v>0</v>
      </c>
      <c r="AI40" s="342">
        <f>IF('Liq-Zoot'!$F$31&gt;0,AK36/1000*J40/'Liq-Zoot'!$F$31,0)</f>
        <v>0</v>
      </c>
      <c r="AJ40" s="343" t="str">
        <f>$AJ$12</f>
        <v>Fact. IP</v>
      </c>
      <c r="AK40" s="344">
        <f>IF(AK38&gt;0,AK39/AK38,0)</f>
        <v>0</v>
      </c>
      <c r="AL40" s="345">
        <f>IF(AL38&gt;0,AL39/AL38,0)</f>
        <v>0</v>
      </c>
      <c r="AM40" s="346" t="str">
        <f>IF(AK40&gt;0,(AK40-AL40)/AL40*100,"")</f>
        <v/>
      </c>
      <c r="AN40" s="50"/>
      <c r="AO40" s="16">
        <f t="shared" si="45"/>
        <v>7</v>
      </c>
      <c r="AP40" s="8">
        <f>AK53</f>
        <v>0</v>
      </c>
      <c r="AQ40" s="8">
        <f t="shared" ref="AQ40:AR40" si="68">AL53</f>
        <v>0</v>
      </c>
      <c r="AR40" s="17" t="str">
        <f t="shared" si="68"/>
        <v/>
      </c>
      <c r="AS40" s="72">
        <f t="shared" si="55"/>
        <v>0</v>
      </c>
      <c r="AT40" s="72">
        <f t="shared" si="56"/>
        <v>0</v>
      </c>
      <c r="AU40" s="72">
        <f t="shared" si="57"/>
        <v>0</v>
      </c>
      <c r="AV40" s="50"/>
      <c r="AW40" s="50"/>
      <c r="AX40" s="50"/>
      <c r="AY40" s="50"/>
      <c r="AZ40" s="16">
        <f t="shared" si="66"/>
        <v>4</v>
      </c>
      <c r="BA40" s="8">
        <f>AI33</f>
        <v>0</v>
      </c>
      <c r="BB40" s="8">
        <f>IF('Liq-Zoot'!$E$31&gt;0,AL29/1000*J33/'Liq-Zoot'!$E$31,0)</f>
        <v>0</v>
      </c>
      <c r="BC40" s="17" t="str">
        <f t="shared" si="58"/>
        <v/>
      </c>
      <c r="BD40" s="50"/>
      <c r="BE40" s="50"/>
      <c r="BF40" s="50"/>
    </row>
    <row r="41" spans="1:58" ht="16.5" customHeight="1" thickBot="1" x14ac:dyDescent="0.3">
      <c r="A41" s="928" t="s">
        <v>23</v>
      </c>
      <c r="B41" s="52" t="str">
        <f t="shared" si="8"/>
        <v/>
      </c>
      <c r="C41" s="374">
        <f t="shared" si="59"/>
        <v>36</v>
      </c>
      <c r="D41" s="392"/>
      <c r="E41" s="393"/>
      <c r="F41" s="394"/>
      <c r="G41" s="392"/>
      <c r="H41" s="403">
        <f t="shared" si="0"/>
        <v>0</v>
      </c>
      <c r="I41" s="418">
        <f>IF($Q$1&gt;0,TGsh!E39*$M$4%+TGsh!F39*(1-$M$4%),0)</f>
        <v>0</v>
      </c>
      <c r="J41" s="55">
        <f t="shared" si="60"/>
        <v>0</v>
      </c>
      <c r="K41" s="294" t="str">
        <f>$K$6</f>
        <v>Item</v>
      </c>
      <c r="L41" s="295" t="str">
        <f>$L$6</f>
        <v>#</v>
      </c>
      <c r="M41" s="295" t="str">
        <f>$M$6</f>
        <v>Real %</v>
      </c>
      <c r="N41" s="296" t="str">
        <f t="shared" ref="N41" si="69">$N$6</f>
        <v>Guia %</v>
      </c>
      <c r="O41" s="25"/>
      <c r="P41" s="31"/>
      <c r="Q41" s="31"/>
      <c r="R41" s="314">
        <f t="shared" si="62"/>
        <v>0</v>
      </c>
      <c r="S41" s="318"/>
      <c r="T41" s="31"/>
      <c r="U41" s="319"/>
      <c r="V41" s="34">
        <f t="shared" si="17"/>
        <v>0</v>
      </c>
      <c r="W41" s="305"/>
      <c r="X41" s="305"/>
      <c r="Y41" s="305"/>
      <c r="Z41" s="34">
        <f t="shared" si="18"/>
        <v>0</v>
      </c>
      <c r="AA41" s="364">
        <f t="shared" si="13"/>
        <v>0</v>
      </c>
      <c r="AB41" s="365">
        <f t="shared" si="50"/>
        <v>0</v>
      </c>
      <c r="AC41" s="366">
        <f t="shared" si="63"/>
        <v>0</v>
      </c>
      <c r="AD41" s="325">
        <f t="shared" si="51"/>
        <v>0</v>
      </c>
      <c r="AE41" s="326">
        <f t="shared" si="64"/>
        <v>0</v>
      </c>
      <c r="AF41" s="349">
        <f t="shared" si="52"/>
        <v>0</v>
      </c>
      <c r="AG41" s="28">
        <f t="shared" si="53"/>
        <v>0</v>
      </c>
      <c r="AH41" s="46">
        <f>IF($M$3&gt;0,TGsh!C39*$M$4%+TGsh!D39*(1-$M$4%),0)</f>
        <v>0</v>
      </c>
      <c r="AI41" s="347" t="str">
        <f>$AI$6</f>
        <v>Gr. Obten.</v>
      </c>
      <c r="AJ41" s="335" t="str">
        <f>$AJ$6</f>
        <v>Cons Sem</v>
      </c>
      <c r="AK41" s="3">
        <f>IF((J47+SUM(F41:F47))&gt;0,SUM(AD41:AD47)*40000/(J47+SUM(F41:F47)),0)</f>
        <v>0</v>
      </c>
      <c r="AL41" s="41">
        <f>SUMIF($AD41:$AD47,"&gt;0",AH41:AH47)</f>
        <v>0</v>
      </c>
      <c r="AM41" s="336" t="str">
        <f>IF(AK41&gt;0,(AK41-AL41)/AL41*100,"")</f>
        <v/>
      </c>
      <c r="AN41" s="50"/>
      <c r="AO41" s="18">
        <f t="shared" si="45"/>
        <v>8</v>
      </c>
      <c r="AP41" s="22">
        <f>AK60</f>
        <v>0</v>
      </c>
      <c r="AQ41" s="22">
        <f t="shared" ref="AQ41:AR41" si="70">AL60</f>
        <v>0</v>
      </c>
      <c r="AR41" s="23" t="str">
        <f t="shared" si="70"/>
        <v/>
      </c>
      <c r="AS41" s="72">
        <f t="shared" si="55"/>
        <v>0</v>
      </c>
      <c r="AT41" s="72">
        <f t="shared" si="56"/>
        <v>0</v>
      </c>
      <c r="AU41" s="72">
        <f t="shared" si="57"/>
        <v>0</v>
      </c>
      <c r="AV41" s="50"/>
      <c r="AW41" s="50"/>
      <c r="AX41" s="50"/>
      <c r="AY41" s="50"/>
      <c r="AZ41" s="16">
        <f t="shared" si="66"/>
        <v>5</v>
      </c>
      <c r="BA41" s="8">
        <f>AI40</f>
        <v>0</v>
      </c>
      <c r="BB41" s="8">
        <f>IF('Liq-Zoot'!$E$31&gt;0,AL36/1000*J40/'Liq-Zoot'!$E$31,0)</f>
        <v>0</v>
      </c>
      <c r="BC41" s="17" t="str">
        <f t="shared" si="58"/>
        <v/>
      </c>
      <c r="BD41" s="50"/>
      <c r="BE41" s="50"/>
      <c r="BF41" s="50"/>
    </row>
    <row r="42" spans="1:58" ht="16.5" thickBot="1" x14ac:dyDescent="0.3">
      <c r="A42" s="929"/>
      <c r="B42" s="53" t="str">
        <f t="shared" si="8"/>
        <v/>
      </c>
      <c r="C42" s="375">
        <f t="shared" si="59"/>
        <v>37</v>
      </c>
      <c r="D42" s="395"/>
      <c r="E42" s="396"/>
      <c r="F42" s="397"/>
      <c r="G42" s="395"/>
      <c r="H42" s="404">
        <f t="shared" si="0"/>
        <v>0</v>
      </c>
      <c r="I42" s="421">
        <f>IF($Q$1&gt;0,TGsh!E40*$M$4%+TGsh!F40*(1-$M$4%),0)</f>
        <v>0</v>
      </c>
      <c r="J42" s="411">
        <f t="shared" si="60"/>
        <v>0</v>
      </c>
      <c r="K42" s="297" t="str">
        <f>$K$7</f>
        <v xml:space="preserve">Mort Sem </v>
      </c>
      <c r="L42" s="289">
        <f>SUM(D41:D47)</f>
        <v>0</v>
      </c>
      <c r="M42" s="429">
        <f>IF(J40&gt;0,L42/J40,0)</f>
        <v>0</v>
      </c>
      <c r="N42" s="430">
        <f ca="1">SUM(TGsh!G39:G45)</f>
        <v>0</v>
      </c>
      <c r="O42" s="26"/>
      <c r="P42" s="32"/>
      <c r="Q42" s="32"/>
      <c r="R42" s="315">
        <f t="shared" si="62"/>
        <v>0</v>
      </c>
      <c r="S42" s="320"/>
      <c r="T42" s="32"/>
      <c r="U42" s="321"/>
      <c r="V42" s="35">
        <f t="shared" si="17"/>
        <v>0</v>
      </c>
      <c r="W42" s="306"/>
      <c r="X42" s="306"/>
      <c r="Y42" s="306"/>
      <c r="Z42" s="35">
        <f t="shared" si="18"/>
        <v>0</v>
      </c>
      <c r="AA42" s="367">
        <f t="shared" si="13"/>
        <v>0</v>
      </c>
      <c r="AB42" s="368">
        <f t="shared" si="50"/>
        <v>0</v>
      </c>
      <c r="AC42" s="369">
        <f t="shared" si="63"/>
        <v>0</v>
      </c>
      <c r="AD42" s="327">
        <f t="shared" si="51"/>
        <v>0</v>
      </c>
      <c r="AE42" s="328">
        <f t="shared" si="64"/>
        <v>0</v>
      </c>
      <c r="AF42" s="350">
        <f t="shared" si="52"/>
        <v>0</v>
      </c>
      <c r="AG42" s="29">
        <f t="shared" si="53"/>
        <v>0</v>
      </c>
      <c r="AH42" s="47">
        <f>IF($M$3&gt;0,TGsh!C40*$M$4%+TGsh!D40*(1-$M$4%),0)</f>
        <v>0</v>
      </c>
      <c r="AI42" s="337">
        <f>IF(SUM(AD41:AD47)&gt;0,AVERAGEIF(AD41:AD47,"&gt;0",AG41:AG47),0)</f>
        <v>0</v>
      </c>
      <c r="AJ42" s="338" t="str">
        <f>$AJ$7</f>
        <v>Cons Acum</v>
      </c>
      <c r="AK42" s="339">
        <f>IF((J47+SUM(F$6:F47))&gt;0,SUM(AD$6:AD47)*40000/(J47+SUM(F$6:F47)),0)</f>
        <v>0</v>
      </c>
      <c r="AL42" s="340">
        <f>AL35+AL41</f>
        <v>0</v>
      </c>
      <c r="AM42" s="341" t="str">
        <f>IF(AK41&gt;0,(AK42-AL42)/AL42*100,"")</f>
        <v/>
      </c>
      <c r="AN42" s="50"/>
      <c r="AO42" s="19" t="s">
        <v>9</v>
      </c>
      <c r="AP42" s="20" t="s">
        <v>34</v>
      </c>
      <c r="AQ42" s="20" t="s">
        <v>35</v>
      </c>
      <c r="AR42" s="21" t="s">
        <v>14</v>
      </c>
      <c r="AS42" s="72">
        <f t="shared" si="55"/>
        <v>0</v>
      </c>
      <c r="AT42" s="72">
        <f t="shared" si="56"/>
        <v>0</v>
      </c>
      <c r="AU42" s="72">
        <f t="shared" si="57"/>
        <v>0</v>
      </c>
      <c r="AV42" s="50"/>
      <c r="AW42" s="50"/>
      <c r="AX42" s="50"/>
      <c r="AY42" s="50"/>
      <c r="AZ42" s="16">
        <f t="shared" si="66"/>
        <v>6</v>
      </c>
      <c r="BA42" s="8">
        <f>AI47</f>
        <v>0</v>
      </c>
      <c r="BB42" s="8">
        <f>IF('Liq-Zoot'!$E$31&gt;0,AL43/1000*J47/'Liq-Zoot'!$E$31,0)</f>
        <v>0</v>
      </c>
      <c r="BC42" s="17" t="str">
        <f>IF(BA42&gt;0,(BA42-BB42)/BB42*100,"")</f>
        <v/>
      </c>
      <c r="BD42" s="50"/>
      <c r="BE42" s="50"/>
      <c r="BF42" s="50"/>
    </row>
    <row r="43" spans="1:58" ht="16.5" thickBot="1" x14ac:dyDescent="0.3">
      <c r="A43" s="929"/>
      <c r="B43" s="53" t="str">
        <f t="shared" si="8"/>
        <v/>
      </c>
      <c r="C43" s="375">
        <f t="shared" si="59"/>
        <v>38</v>
      </c>
      <c r="D43" s="395"/>
      <c r="E43" s="396"/>
      <c r="F43" s="397"/>
      <c r="G43" s="395"/>
      <c r="H43" s="404">
        <f t="shared" si="0"/>
        <v>0</v>
      </c>
      <c r="I43" s="421">
        <f>IF($Q$1&gt;0,TGsh!E41*$M$4%+TGsh!F41*(1-$M$4%),0)</f>
        <v>0</v>
      </c>
      <c r="J43" s="411">
        <f t="shared" si="60"/>
        <v>0</v>
      </c>
      <c r="K43" s="298" t="str">
        <f>$K$8</f>
        <v xml:space="preserve">Sel Sem </v>
      </c>
      <c r="L43" s="290">
        <f>SUM(E41:E47)</f>
        <v>0</v>
      </c>
      <c r="M43" s="431">
        <f>IF(J40&gt;0,L43/J40,0)</f>
        <v>0</v>
      </c>
      <c r="N43" s="432">
        <v>0</v>
      </c>
      <c r="O43" s="26"/>
      <c r="P43" s="32"/>
      <c r="Q43" s="32"/>
      <c r="R43" s="315">
        <f t="shared" si="62"/>
        <v>0</v>
      </c>
      <c r="S43" s="320"/>
      <c r="T43" s="32"/>
      <c r="U43" s="321"/>
      <c r="V43" s="35">
        <f t="shared" si="17"/>
        <v>0</v>
      </c>
      <c r="W43" s="306"/>
      <c r="X43" s="306"/>
      <c r="Y43" s="306"/>
      <c r="Z43" s="35">
        <f t="shared" si="18"/>
        <v>0</v>
      </c>
      <c r="AA43" s="367">
        <f t="shared" si="13"/>
        <v>0</v>
      </c>
      <c r="AB43" s="368">
        <f t="shared" si="50"/>
        <v>0</v>
      </c>
      <c r="AC43" s="369">
        <f t="shared" si="63"/>
        <v>0</v>
      </c>
      <c r="AD43" s="327">
        <f t="shared" si="51"/>
        <v>0</v>
      </c>
      <c r="AE43" s="328">
        <f t="shared" si="64"/>
        <v>0</v>
      </c>
      <c r="AF43" s="350">
        <f t="shared" si="52"/>
        <v>0</v>
      </c>
      <c r="AG43" s="29">
        <f t="shared" si="53"/>
        <v>0</v>
      </c>
      <c r="AH43" s="47">
        <f>IF($M$3&gt;0,TGsh!C41*$M$4%+TGsh!D41*(1-$M$4%),0)</f>
        <v>0</v>
      </c>
      <c r="AI43" s="40" t="str">
        <f>$AI$8</f>
        <v>Gr. Guía</v>
      </c>
      <c r="AJ43" s="4" t="str">
        <f>$AJ$8</f>
        <v>Peso Sem</v>
      </c>
      <c r="AK43" s="332">
        <f>IF(SUM($F41:$F47)&gt;0,SUMPRODUCT($F41:$F47,H41:H47)/SUM($F41:$F47),0)</f>
        <v>0</v>
      </c>
      <c r="AL43" s="42">
        <f>IF($Q$1&gt;0,I47,0)</f>
        <v>0</v>
      </c>
      <c r="AM43" s="9" t="str">
        <f>IF(AK43&gt;0,(AK43-AL43)/AL43*100,"")</f>
        <v/>
      </c>
      <c r="AN43" s="50"/>
      <c r="AO43" s="14">
        <v>1</v>
      </c>
      <c r="AP43" s="3">
        <f>AK12</f>
        <v>0</v>
      </c>
      <c r="AQ43" s="3">
        <f t="shared" ref="AQ43:AR43" si="71">AL12</f>
        <v>0</v>
      </c>
      <c r="AR43" s="15" t="str">
        <f t="shared" si="71"/>
        <v/>
      </c>
      <c r="AS43" s="72">
        <f t="shared" si="55"/>
        <v>0</v>
      </c>
      <c r="AT43" s="72">
        <f t="shared" si="56"/>
        <v>0</v>
      </c>
      <c r="AU43" s="72">
        <f t="shared" si="57"/>
        <v>0</v>
      </c>
      <c r="AV43" s="50"/>
      <c r="AW43" s="50"/>
      <c r="AX43" s="50"/>
      <c r="AY43" s="50"/>
      <c r="AZ43" s="16">
        <f t="shared" si="66"/>
        <v>7</v>
      </c>
      <c r="BA43" s="8">
        <f>AI54</f>
        <v>0</v>
      </c>
      <c r="BB43" s="8">
        <f>IF('Liq-Zoot'!$E$31&gt;0,AL50/1000*J54/'Liq-Zoot'!$E$31,0)</f>
        <v>0</v>
      </c>
      <c r="BC43" s="17" t="str">
        <f>IF(BA43&gt;0,(BA43-BB43)/BB43*100,"")</f>
        <v/>
      </c>
      <c r="BD43" s="50"/>
      <c r="BE43" s="50"/>
      <c r="BF43" s="50"/>
    </row>
    <row r="44" spans="1:58" ht="16.5" thickBot="1" x14ac:dyDescent="0.3">
      <c r="A44" s="929"/>
      <c r="B44" s="53" t="str">
        <f t="shared" si="8"/>
        <v/>
      </c>
      <c r="C44" s="375">
        <f t="shared" si="59"/>
        <v>39</v>
      </c>
      <c r="D44" s="395"/>
      <c r="E44" s="396"/>
      <c r="F44" s="397"/>
      <c r="G44" s="395"/>
      <c r="H44" s="404">
        <f t="shared" si="0"/>
        <v>0</v>
      </c>
      <c r="I44" s="421">
        <f>IF($Q$1&gt;0,TGsh!E42*$M$4%+TGsh!F42*(1-$M$4%),0)</f>
        <v>0</v>
      </c>
      <c r="J44" s="411">
        <f t="shared" si="60"/>
        <v>0</v>
      </c>
      <c r="K44" s="299" t="str">
        <f>$K$9</f>
        <v xml:space="preserve">Mort + Sel Sem </v>
      </c>
      <c r="L44" s="291">
        <f>SUM(L42:L43)</f>
        <v>0</v>
      </c>
      <c r="M44" s="433">
        <f>IF(J40&gt;0,L44/J40,0)</f>
        <v>0</v>
      </c>
      <c r="N44" s="434">
        <f t="shared" ref="N44" ca="1" si="72">SUM(N42:N43)</f>
        <v>0</v>
      </c>
      <c r="O44" s="26"/>
      <c r="P44" s="32"/>
      <c r="Q44" s="32"/>
      <c r="R44" s="315">
        <f t="shared" si="62"/>
        <v>0</v>
      </c>
      <c r="S44" s="320"/>
      <c r="T44" s="32"/>
      <c r="U44" s="321"/>
      <c r="V44" s="35">
        <f t="shared" si="17"/>
        <v>0</v>
      </c>
      <c r="W44" s="306"/>
      <c r="X44" s="306"/>
      <c r="Y44" s="306"/>
      <c r="Z44" s="35">
        <f t="shared" si="18"/>
        <v>0</v>
      </c>
      <c r="AA44" s="367">
        <f t="shared" si="13"/>
        <v>0</v>
      </c>
      <c r="AB44" s="368">
        <f t="shared" si="50"/>
        <v>0</v>
      </c>
      <c r="AC44" s="369">
        <f t="shared" si="63"/>
        <v>0</v>
      </c>
      <c r="AD44" s="327">
        <f t="shared" si="51"/>
        <v>0</v>
      </c>
      <c r="AE44" s="328">
        <f t="shared" si="64"/>
        <v>0</v>
      </c>
      <c r="AF44" s="350">
        <f t="shared" si="52"/>
        <v>0</v>
      </c>
      <c r="AG44" s="29">
        <f t="shared" si="53"/>
        <v>0</v>
      </c>
      <c r="AH44" s="47">
        <f>IF($M$3&gt;0,TGsh!C42*$M$4%+TGsh!D42*(1-$M$4%),0)</f>
        <v>0</v>
      </c>
      <c r="AI44" s="337">
        <f>IF(SUM(AD41:AD47)&gt;0,AVERAGEIF(AD41:AD47,"&gt;0",AH41:AH47),0)</f>
        <v>0</v>
      </c>
      <c r="AJ44" s="5" t="str">
        <f t="shared" ref="AJ44" si="73">AJ37</f>
        <v>Gan Dia</v>
      </c>
      <c r="AK44" s="6">
        <f>IF(AND(AK36&gt;0,AK43&gt;0),(AK43-AK36)/(COUNTIF(AD41:AD47,"&gt;0")),0)</f>
        <v>0</v>
      </c>
      <c r="AL44" s="43">
        <f>IF(AND(AL36&gt;0,AL43&gt;0,COUNTIF(AD41:AD47,"&gt;0")),(AL43-AL36)/COUNTIF(AD41:AD47,"&gt;0"),0)</f>
        <v>0</v>
      </c>
      <c r="AM44" s="10" t="str">
        <f>IF(AK44&gt;0,(AK44-AL44)/AL44*100,"")</f>
        <v/>
      </c>
      <c r="AN44" s="354"/>
      <c r="AO44" s="16">
        <f>AO43+1</f>
        <v>2</v>
      </c>
      <c r="AP44" s="8">
        <f>AK19</f>
        <v>0</v>
      </c>
      <c r="AQ44" s="8">
        <f t="shared" ref="AQ44:AR44" si="74">AL19</f>
        <v>0</v>
      </c>
      <c r="AR44" s="17" t="str">
        <f t="shared" si="74"/>
        <v/>
      </c>
      <c r="AS44" s="72">
        <f t="shared" si="55"/>
        <v>0</v>
      </c>
      <c r="AT44" s="72">
        <f t="shared" si="56"/>
        <v>0</v>
      </c>
      <c r="AU44" s="72">
        <f t="shared" si="57"/>
        <v>0</v>
      </c>
      <c r="AV44" s="50"/>
      <c r="AW44" s="50"/>
      <c r="AX44" s="50"/>
      <c r="AY44" s="50"/>
      <c r="AZ44" s="18">
        <f t="shared" si="66"/>
        <v>8</v>
      </c>
      <c r="BA44" s="22">
        <f>AI61</f>
        <v>0</v>
      </c>
      <c r="BB44" s="22">
        <f>IF('Liq-Zoot'!$E$31&gt;0,AL57/1000*J61/'Liq-Zoot'!$E$31,0)</f>
        <v>0</v>
      </c>
      <c r="BC44" s="23" t="str">
        <f t="shared" si="58"/>
        <v/>
      </c>
      <c r="BD44" s="50"/>
      <c r="BE44" s="50"/>
      <c r="BF44" s="50"/>
    </row>
    <row r="45" spans="1:58" ht="15.75" customHeight="1" x14ac:dyDescent="0.25">
      <c r="A45" s="929"/>
      <c r="B45" s="53" t="str">
        <f t="shared" si="8"/>
        <v/>
      </c>
      <c r="C45" s="375">
        <f t="shared" si="59"/>
        <v>40</v>
      </c>
      <c r="D45" s="395"/>
      <c r="E45" s="396"/>
      <c r="F45" s="397"/>
      <c r="G45" s="395"/>
      <c r="H45" s="404">
        <f t="shared" si="0"/>
        <v>0</v>
      </c>
      <c r="I45" s="421">
        <f>IF($Q$1&gt;0,TGsh!E43*$M$4%+TGsh!F43*(1-$M$4%),0)</f>
        <v>0</v>
      </c>
      <c r="J45" s="411">
        <f t="shared" si="60"/>
        <v>0</v>
      </c>
      <c r="K45" s="300" t="str">
        <f>$K$10</f>
        <v xml:space="preserve">Mort Acum </v>
      </c>
      <c r="L45" s="292">
        <f>L42+L38</f>
        <v>0</v>
      </c>
      <c r="M45" s="435">
        <f>IF($M$3&gt;0,L45/$M$3,0)</f>
        <v>0</v>
      </c>
      <c r="N45" s="436">
        <f ca="1">TGsh!H45</f>
        <v>0</v>
      </c>
      <c r="O45" s="26"/>
      <c r="P45" s="32"/>
      <c r="Q45" s="32"/>
      <c r="R45" s="315">
        <f t="shared" si="62"/>
        <v>0</v>
      </c>
      <c r="S45" s="320"/>
      <c r="T45" s="32"/>
      <c r="U45" s="321"/>
      <c r="V45" s="35">
        <f t="shared" si="17"/>
        <v>0</v>
      </c>
      <c r="W45" s="306"/>
      <c r="X45" s="306"/>
      <c r="Y45" s="306"/>
      <c r="Z45" s="35">
        <f t="shared" si="18"/>
        <v>0</v>
      </c>
      <c r="AA45" s="367">
        <f t="shared" si="13"/>
        <v>0</v>
      </c>
      <c r="AB45" s="368">
        <f t="shared" si="50"/>
        <v>0</v>
      </c>
      <c r="AC45" s="369">
        <f t="shared" si="63"/>
        <v>0</v>
      </c>
      <c r="AD45" s="327">
        <f t="shared" si="51"/>
        <v>0</v>
      </c>
      <c r="AE45" s="328">
        <f t="shared" si="64"/>
        <v>0</v>
      </c>
      <c r="AF45" s="350">
        <f t="shared" si="52"/>
        <v>0</v>
      </c>
      <c r="AG45" s="29">
        <f t="shared" si="53"/>
        <v>0</v>
      </c>
      <c r="AH45" s="47">
        <f>IF($M$3&gt;0,TGsh!C43*$M$4%+TGsh!D43*(1-$M$4%),0)</f>
        <v>0</v>
      </c>
      <c r="AI45" s="891" t="s">
        <v>46</v>
      </c>
      <c r="AJ45" s="7" t="str">
        <f>$AJ$10</f>
        <v>Conversión</v>
      </c>
      <c r="AK45" s="13">
        <f>IF(AK43&gt;0,AK42/AK43,0)</f>
        <v>0</v>
      </c>
      <c r="AL45" s="44">
        <f>IF(AL43&gt;0,AL42/AL43,0)</f>
        <v>0</v>
      </c>
      <c r="AM45" s="11" t="str">
        <f>IF(AK43&gt;0,-(AK45-AL45)/AL45*100,"")</f>
        <v/>
      </c>
      <c r="AN45" s="50"/>
      <c r="AO45" s="16">
        <f t="shared" ref="AO45:AO50" si="75">AO44+1</f>
        <v>3</v>
      </c>
      <c r="AP45" s="8">
        <f>AK26</f>
        <v>0</v>
      </c>
      <c r="AQ45" s="8">
        <f t="shared" ref="AQ45:AR45" si="76">AL26</f>
        <v>0</v>
      </c>
      <c r="AR45" s="17" t="str">
        <f t="shared" si="76"/>
        <v/>
      </c>
      <c r="AS45" s="72">
        <f t="shared" si="55"/>
        <v>0</v>
      </c>
      <c r="AT45" s="72">
        <f t="shared" si="56"/>
        <v>0</v>
      </c>
      <c r="AU45" s="72">
        <f t="shared" si="57"/>
        <v>0</v>
      </c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</row>
    <row r="46" spans="1:58" ht="15.75" x14ac:dyDescent="0.25">
      <c r="A46" s="929"/>
      <c r="B46" s="53" t="str">
        <f t="shared" si="8"/>
        <v/>
      </c>
      <c r="C46" s="375">
        <f t="shared" si="59"/>
        <v>41</v>
      </c>
      <c r="D46" s="395"/>
      <c r="E46" s="396"/>
      <c r="F46" s="397"/>
      <c r="G46" s="409"/>
      <c r="H46" s="405">
        <f t="shared" si="0"/>
        <v>0</v>
      </c>
      <c r="I46" s="420">
        <f>IF($Q$1&gt;0,TGsh!E44*$M$4%+TGsh!F44*(1-$M$4%),0)</f>
        <v>0</v>
      </c>
      <c r="J46" s="412">
        <f t="shared" si="60"/>
        <v>0</v>
      </c>
      <c r="K46" s="298" t="str">
        <f>$K$11</f>
        <v xml:space="preserve">Sel Acum </v>
      </c>
      <c r="L46" s="290">
        <f>L43+L39</f>
        <v>0</v>
      </c>
      <c r="M46" s="431">
        <f>IF($M$3&gt;0,L46/$M$3,0)</f>
        <v>0</v>
      </c>
      <c r="N46" s="437">
        <f t="shared" ref="N46" si="77">N43+N39</f>
        <v>0</v>
      </c>
      <c r="O46" s="26"/>
      <c r="P46" s="32"/>
      <c r="Q46" s="32"/>
      <c r="R46" s="315">
        <f t="shared" si="62"/>
        <v>0</v>
      </c>
      <c r="S46" s="320"/>
      <c r="T46" s="32"/>
      <c r="U46" s="321"/>
      <c r="V46" s="35">
        <f t="shared" si="17"/>
        <v>0</v>
      </c>
      <c r="W46" s="306"/>
      <c r="X46" s="32"/>
      <c r="Y46" s="306"/>
      <c r="Z46" s="35">
        <f t="shared" si="18"/>
        <v>0</v>
      </c>
      <c r="AA46" s="367">
        <f t="shared" si="13"/>
        <v>0</v>
      </c>
      <c r="AB46" s="368">
        <f t="shared" si="50"/>
        <v>0</v>
      </c>
      <c r="AC46" s="369">
        <f t="shared" si="63"/>
        <v>0</v>
      </c>
      <c r="AD46" s="327">
        <f t="shared" si="51"/>
        <v>0</v>
      </c>
      <c r="AE46" s="328">
        <f t="shared" si="64"/>
        <v>0</v>
      </c>
      <c r="AF46" s="350">
        <f t="shared" si="52"/>
        <v>0</v>
      </c>
      <c r="AG46" s="29">
        <f t="shared" si="53"/>
        <v>0</v>
      </c>
      <c r="AH46" s="47">
        <f>IF($M$3&gt;0,TGsh!C44*$M$4%+TGsh!D44*(1-$M$4%),0)</f>
        <v>0</v>
      </c>
      <c r="AI46" s="892"/>
      <c r="AJ46" s="7" t="str">
        <f>$AJ$11</f>
        <v>Ef. Alim</v>
      </c>
      <c r="AK46" s="12">
        <f>IF(AK45&gt;0,AK43/AK45/10,0)</f>
        <v>0</v>
      </c>
      <c r="AL46" s="45">
        <f>IF(AL45&gt;0,AL43/AL45/10,0)</f>
        <v>0</v>
      </c>
      <c r="AM46" s="11" t="str">
        <f>IF(AK46&gt;0,(AK46-AL46)/AL46*100,"")</f>
        <v/>
      </c>
      <c r="AN46" s="50"/>
      <c r="AO46" s="16">
        <f t="shared" si="75"/>
        <v>4</v>
      </c>
      <c r="AP46" s="8">
        <f>AK33</f>
        <v>0</v>
      </c>
      <c r="AQ46" s="8">
        <f t="shared" ref="AQ46:AR46" si="78">AL33</f>
        <v>0</v>
      </c>
      <c r="AR46" s="17" t="str">
        <f t="shared" si="78"/>
        <v/>
      </c>
      <c r="AS46" s="72">
        <f t="shared" si="55"/>
        <v>0</v>
      </c>
      <c r="AT46" s="72">
        <f t="shared" si="56"/>
        <v>0</v>
      </c>
      <c r="AU46" s="72">
        <f t="shared" si="57"/>
        <v>0</v>
      </c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</row>
    <row r="47" spans="1:58" ht="16.5" thickBot="1" x14ac:dyDescent="0.3">
      <c r="A47" s="930"/>
      <c r="B47" s="54" t="str">
        <f t="shared" si="8"/>
        <v/>
      </c>
      <c r="C47" s="376">
        <f t="shared" si="59"/>
        <v>42</v>
      </c>
      <c r="D47" s="400"/>
      <c r="E47" s="401"/>
      <c r="F47" s="402"/>
      <c r="G47" s="400"/>
      <c r="H47" s="406">
        <f t="shared" si="0"/>
        <v>0</v>
      </c>
      <c r="I47" s="419">
        <f>IF($Q$1&gt;0,TGsh!E45*$M$4%+TGsh!F45*(1-$M$4%),0)</f>
        <v>0</v>
      </c>
      <c r="J47" s="56">
        <f t="shared" si="60"/>
        <v>0</v>
      </c>
      <c r="K47" s="301" t="str">
        <f>$K$12</f>
        <v xml:space="preserve">Mort + Sel Acum </v>
      </c>
      <c r="L47" s="293">
        <f>L44+L40</f>
        <v>0</v>
      </c>
      <c r="M47" s="438">
        <f>IF($M$3&gt;0,L47/$M$3,0)</f>
        <v>0</v>
      </c>
      <c r="N47" s="439">
        <f t="shared" ref="N47" ca="1" si="79">SUM(N45:N46)</f>
        <v>0</v>
      </c>
      <c r="O47" s="27"/>
      <c r="P47" s="33"/>
      <c r="Q47" s="33"/>
      <c r="R47" s="316">
        <f t="shared" si="62"/>
        <v>0</v>
      </c>
      <c r="S47" s="322"/>
      <c r="T47" s="33"/>
      <c r="U47" s="323"/>
      <c r="V47" s="324">
        <f t="shared" si="17"/>
        <v>0</v>
      </c>
      <c r="W47" s="307"/>
      <c r="X47" s="33"/>
      <c r="Y47" s="33"/>
      <c r="Z47" s="36">
        <f t="shared" si="18"/>
        <v>0</v>
      </c>
      <c r="AA47" s="370">
        <f t="shared" si="13"/>
        <v>0</v>
      </c>
      <c r="AB47" s="371">
        <f t="shared" si="50"/>
        <v>0</v>
      </c>
      <c r="AC47" s="372">
        <f t="shared" si="63"/>
        <v>0</v>
      </c>
      <c r="AD47" s="351">
        <f t="shared" si="51"/>
        <v>0</v>
      </c>
      <c r="AE47" s="502">
        <f t="shared" si="64"/>
        <v>0</v>
      </c>
      <c r="AF47" s="352">
        <f t="shared" si="52"/>
        <v>0</v>
      </c>
      <c r="AG47" s="30">
        <f t="shared" si="53"/>
        <v>0</v>
      </c>
      <c r="AH47" s="48">
        <f>IF($M$3&gt;0,TGsh!C45*$M$4%+TGsh!D45*(1-$M$4%),0)</f>
        <v>0</v>
      </c>
      <c r="AI47" s="342">
        <f>IF('Liq-Zoot'!$F$31&gt;0,AK43/1000*J47/'Liq-Zoot'!$F$31,0)</f>
        <v>0</v>
      </c>
      <c r="AJ47" s="343" t="str">
        <f>$AJ$12</f>
        <v>Fact. IP</v>
      </c>
      <c r="AK47" s="344">
        <f>IF(AK45&gt;0,AK46/AK45,0)</f>
        <v>0</v>
      </c>
      <c r="AL47" s="345">
        <f>IF(AL45&gt;0,AL46/AL45,0)</f>
        <v>0</v>
      </c>
      <c r="AM47" s="346" t="str">
        <f>IF(AK47&gt;0,(AK47-AL47)/AL47*100,"")</f>
        <v/>
      </c>
      <c r="AN47" s="50"/>
      <c r="AO47" s="16">
        <f t="shared" si="75"/>
        <v>5</v>
      </c>
      <c r="AP47" s="8">
        <f>AK40</f>
        <v>0</v>
      </c>
      <c r="AQ47" s="8">
        <f t="shared" ref="AQ47:AR47" si="80">AL40</f>
        <v>0</v>
      </c>
      <c r="AR47" s="17" t="str">
        <f t="shared" si="80"/>
        <v/>
      </c>
      <c r="AS47" s="72">
        <f t="shared" si="55"/>
        <v>0</v>
      </c>
      <c r="AT47" s="72">
        <f t="shared" si="56"/>
        <v>0</v>
      </c>
      <c r="AU47" s="72">
        <f t="shared" si="57"/>
        <v>0</v>
      </c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</row>
    <row r="48" spans="1:58" ht="15.75" customHeight="1" x14ac:dyDescent="0.25">
      <c r="A48" s="928" t="s">
        <v>26</v>
      </c>
      <c r="B48" s="52" t="str">
        <f t="shared" si="8"/>
        <v/>
      </c>
      <c r="C48" s="374">
        <f t="shared" si="59"/>
        <v>43</v>
      </c>
      <c r="D48" s="392"/>
      <c r="E48" s="393"/>
      <c r="F48" s="394"/>
      <c r="G48" s="392"/>
      <c r="H48" s="403">
        <f t="shared" si="0"/>
        <v>0</v>
      </c>
      <c r="I48" s="418">
        <f>IF($Q$1&gt;0,TGsh!E46*$M$4%+TGsh!F46*(1-$M$4%),0)</f>
        <v>0</v>
      </c>
      <c r="J48" s="55">
        <f t="shared" si="60"/>
        <v>0</v>
      </c>
      <c r="K48" s="294" t="str">
        <f>$K$6</f>
        <v>Item</v>
      </c>
      <c r="L48" s="295" t="str">
        <f>$L$6</f>
        <v>#</v>
      </c>
      <c r="M48" s="295" t="str">
        <f>$M$6</f>
        <v>Real %</v>
      </c>
      <c r="N48" s="296" t="str">
        <f t="shared" ref="N48" si="81">$N$6</f>
        <v>Guia %</v>
      </c>
      <c r="O48" s="25"/>
      <c r="P48" s="31"/>
      <c r="Q48" s="31"/>
      <c r="R48" s="314">
        <f t="shared" si="62"/>
        <v>0</v>
      </c>
      <c r="S48" s="318"/>
      <c r="T48" s="31"/>
      <c r="U48" s="319"/>
      <c r="V48" s="34">
        <f t="shared" si="17"/>
        <v>0</v>
      </c>
      <c r="W48" s="305"/>
      <c r="X48" s="31"/>
      <c r="Y48" s="31"/>
      <c r="Z48" s="34">
        <f t="shared" si="18"/>
        <v>0</v>
      </c>
      <c r="AA48" s="364">
        <f t="shared" si="13"/>
        <v>0</v>
      </c>
      <c r="AB48" s="365">
        <f t="shared" si="50"/>
        <v>0</v>
      </c>
      <c r="AC48" s="366">
        <f t="shared" si="63"/>
        <v>0</v>
      </c>
      <c r="AD48" s="325">
        <f t="shared" si="51"/>
        <v>0</v>
      </c>
      <c r="AE48" s="326">
        <f t="shared" si="64"/>
        <v>0</v>
      </c>
      <c r="AF48" s="349">
        <f t="shared" si="52"/>
        <v>0</v>
      </c>
      <c r="AG48" s="28">
        <f t="shared" si="53"/>
        <v>0</v>
      </c>
      <c r="AH48" s="46">
        <f>IF($M$3&gt;0,TGsh!C46*$M$4%+TGsh!D46*(1-$M$4%),0)</f>
        <v>0</v>
      </c>
      <c r="AI48" s="347" t="str">
        <f>$AI$6</f>
        <v>Gr. Obten.</v>
      </c>
      <c r="AJ48" s="335" t="str">
        <f>$AJ$6</f>
        <v>Cons Sem</v>
      </c>
      <c r="AK48" s="3">
        <f>IF((J54+SUM(F48:F54))&gt;0,SUM(AD48:AD54)*40000/(J54+SUM(F48:F54)),0)</f>
        <v>0</v>
      </c>
      <c r="AL48" s="41">
        <f>SUMIF($AD48:$AD54,"&gt;0",AH48:AH54)</f>
        <v>0</v>
      </c>
      <c r="AM48" s="336" t="str">
        <f>IF(AK48&gt;0,(AK48-AL48)/AL48*100,"")</f>
        <v/>
      </c>
      <c r="AN48" s="50"/>
      <c r="AO48" s="16">
        <f t="shared" si="75"/>
        <v>6</v>
      </c>
      <c r="AP48" s="8">
        <f>AK47</f>
        <v>0</v>
      </c>
      <c r="AQ48" s="8">
        <f t="shared" ref="AQ48:AR48" si="82">AL47</f>
        <v>0</v>
      </c>
      <c r="AR48" s="17" t="str">
        <f t="shared" si="82"/>
        <v/>
      </c>
      <c r="AS48" s="72">
        <f t="shared" si="55"/>
        <v>0</v>
      </c>
      <c r="AT48" s="72">
        <f t="shared" si="56"/>
        <v>0</v>
      </c>
      <c r="AU48" s="72">
        <f t="shared" si="57"/>
        <v>0</v>
      </c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1"/>
    </row>
    <row r="49" spans="1:58" ht="16.5" thickBot="1" x14ac:dyDescent="0.3">
      <c r="A49" s="929"/>
      <c r="B49" s="53" t="str">
        <f t="shared" si="8"/>
        <v/>
      </c>
      <c r="C49" s="375">
        <f t="shared" si="59"/>
        <v>44</v>
      </c>
      <c r="D49" s="395"/>
      <c r="E49" s="396"/>
      <c r="F49" s="397"/>
      <c r="G49" s="395"/>
      <c r="H49" s="404">
        <f t="shared" si="0"/>
        <v>0</v>
      </c>
      <c r="I49" s="421">
        <f>IF($Q$1&gt;0,TGsh!E47*$M$4%+TGsh!F47*(1-$M$4%),0)</f>
        <v>0</v>
      </c>
      <c r="J49" s="411">
        <f t="shared" si="60"/>
        <v>0</v>
      </c>
      <c r="K49" s="297" t="str">
        <f>$K$7</f>
        <v xml:space="preserve">Mort Sem </v>
      </c>
      <c r="L49" s="289">
        <f>SUM(D48:D54)</f>
        <v>0</v>
      </c>
      <c r="M49" s="429">
        <f>IF(J47&gt;0,L49/J47,0)</f>
        <v>0</v>
      </c>
      <c r="N49" s="430">
        <f ca="1">SUM(TGsh!G46:G52)</f>
        <v>0</v>
      </c>
      <c r="O49" s="26"/>
      <c r="P49" s="32"/>
      <c r="Q49" s="32"/>
      <c r="R49" s="315">
        <f t="shared" si="62"/>
        <v>0</v>
      </c>
      <c r="S49" s="320"/>
      <c r="T49" s="32"/>
      <c r="U49" s="321"/>
      <c r="V49" s="35">
        <f t="shared" si="17"/>
        <v>0</v>
      </c>
      <c r="W49" s="306"/>
      <c r="X49" s="32"/>
      <c r="Y49" s="32"/>
      <c r="Z49" s="35">
        <f t="shared" si="18"/>
        <v>0</v>
      </c>
      <c r="AA49" s="367">
        <f t="shared" si="13"/>
        <v>0</v>
      </c>
      <c r="AB49" s="368">
        <f t="shared" si="50"/>
        <v>0</v>
      </c>
      <c r="AC49" s="369">
        <f t="shared" si="63"/>
        <v>0</v>
      </c>
      <c r="AD49" s="327">
        <f t="shared" si="51"/>
        <v>0</v>
      </c>
      <c r="AE49" s="328">
        <f t="shared" si="64"/>
        <v>0</v>
      </c>
      <c r="AF49" s="350">
        <f t="shared" si="52"/>
        <v>0</v>
      </c>
      <c r="AG49" s="29">
        <f t="shared" si="53"/>
        <v>0</v>
      </c>
      <c r="AH49" s="47">
        <f>IF($M$3&gt;0,TGsh!C47*$M$4%+TGsh!D47*(1-$M$4%),0)</f>
        <v>0</v>
      </c>
      <c r="AI49" s="337">
        <f>IF(SUM(AD48:AD54)&gt;0,AVERAGEIF(AD48:AD54,"&gt;0",AG48:AG54),0)</f>
        <v>0</v>
      </c>
      <c r="AJ49" s="338" t="str">
        <f>$AJ$7</f>
        <v>Cons Acum</v>
      </c>
      <c r="AK49" s="339">
        <f>IF((J54+SUM(F$6:F54))&gt;0,SUM(AD$6:AD54)*40000/(J54+SUM(F$6:F54)),0)</f>
        <v>0</v>
      </c>
      <c r="AL49" s="340">
        <f>AL42+AL48</f>
        <v>0</v>
      </c>
      <c r="AM49" s="341" t="str">
        <f>IF(AK48&gt;0,(AK49-AL49)/AL49*100,"")</f>
        <v/>
      </c>
      <c r="AN49" s="50"/>
      <c r="AO49" s="16">
        <f t="shared" si="75"/>
        <v>7</v>
      </c>
      <c r="AP49" s="8">
        <f>AK54</f>
        <v>0</v>
      </c>
      <c r="AQ49" s="8">
        <f t="shared" ref="AQ49:AR49" si="83">AL54</f>
        <v>0</v>
      </c>
      <c r="AR49" s="17" t="str">
        <f t="shared" si="83"/>
        <v/>
      </c>
      <c r="AS49" s="72">
        <f t="shared" si="55"/>
        <v>0</v>
      </c>
      <c r="AT49" s="72">
        <f t="shared" si="56"/>
        <v>0</v>
      </c>
      <c r="AU49" s="72">
        <f t="shared" si="57"/>
        <v>0</v>
      </c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1"/>
    </row>
    <row r="50" spans="1:58" ht="16.5" thickBot="1" x14ac:dyDescent="0.3">
      <c r="A50" s="929"/>
      <c r="B50" s="53" t="str">
        <f t="shared" si="8"/>
        <v/>
      </c>
      <c r="C50" s="375">
        <f t="shared" si="59"/>
        <v>45</v>
      </c>
      <c r="D50" s="395"/>
      <c r="E50" s="396"/>
      <c r="F50" s="397"/>
      <c r="G50" s="395"/>
      <c r="H50" s="404">
        <f t="shared" si="0"/>
        <v>0</v>
      </c>
      <c r="I50" s="421">
        <f>IF($Q$1&gt;0,TGsh!E48*$M$4%+TGsh!F48*(1-$M$4%),0)</f>
        <v>0</v>
      </c>
      <c r="J50" s="411">
        <f t="shared" si="60"/>
        <v>0</v>
      </c>
      <c r="K50" s="298" t="str">
        <f>$K$8</f>
        <v xml:space="preserve">Sel Sem </v>
      </c>
      <c r="L50" s="290">
        <f>SUM(E48:E54)</f>
        <v>0</v>
      </c>
      <c r="M50" s="431">
        <f>IF(J47&gt;0,L50/J47,0)</f>
        <v>0</v>
      </c>
      <c r="N50" s="432">
        <v>0</v>
      </c>
      <c r="O50" s="26"/>
      <c r="P50" s="32"/>
      <c r="Q50" s="32"/>
      <c r="R50" s="315">
        <f t="shared" si="62"/>
        <v>0</v>
      </c>
      <c r="S50" s="320"/>
      <c r="T50" s="32"/>
      <c r="U50" s="321"/>
      <c r="V50" s="35">
        <f t="shared" si="17"/>
        <v>0</v>
      </c>
      <c r="W50" s="306"/>
      <c r="X50" s="32"/>
      <c r="Y50" s="32"/>
      <c r="Z50" s="35">
        <f t="shared" si="18"/>
        <v>0</v>
      </c>
      <c r="AA50" s="367">
        <f t="shared" si="13"/>
        <v>0</v>
      </c>
      <c r="AB50" s="368">
        <f t="shared" si="50"/>
        <v>0</v>
      </c>
      <c r="AC50" s="369">
        <f t="shared" si="63"/>
        <v>0</v>
      </c>
      <c r="AD50" s="327">
        <f t="shared" si="51"/>
        <v>0</v>
      </c>
      <c r="AE50" s="328">
        <f t="shared" si="64"/>
        <v>0</v>
      </c>
      <c r="AF50" s="350">
        <f t="shared" si="52"/>
        <v>0</v>
      </c>
      <c r="AG50" s="29">
        <f t="shared" si="53"/>
        <v>0</v>
      </c>
      <c r="AH50" s="47">
        <f>IF($M$3&gt;0,TGsh!C48*$M$4%+TGsh!D48*(1-$M$4%),0)</f>
        <v>0</v>
      </c>
      <c r="AI50" s="40" t="str">
        <f>$AI$8</f>
        <v>Gr. Guía</v>
      </c>
      <c r="AJ50" s="4" t="str">
        <f>$AJ$8</f>
        <v>Peso Sem</v>
      </c>
      <c r="AK50" s="332">
        <f>IF(SUM($F48:$F54)&gt;0,SUMPRODUCT($F48:$F54,H48:H54)/SUM($F48:$F54),0)</f>
        <v>0</v>
      </c>
      <c r="AL50" s="42">
        <f>IF($Q$1&gt;0,I54,0)</f>
        <v>0</v>
      </c>
      <c r="AM50" s="9" t="str">
        <f>IF(AK50&gt;0,(AK50-AL50)/AL50*100,"")</f>
        <v/>
      </c>
      <c r="AN50" s="50"/>
      <c r="AO50" s="18">
        <f t="shared" si="75"/>
        <v>8</v>
      </c>
      <c r="AP50" s="22">
        <f>AK61</f>
        <v>0</v>
      </c>
      <c r="AQ50" s="22">
        <f t="shared" ref="AQ50:AR50" si="84">AL61</f>
        <v>0</v>
      </c>
      <c r="AR50" s="23" t="str">
        <f t="shared" si="84"/>
        <v/>
      </c>
      <c r="AS50" s="72">
        <f t="shared" si="55"/>
        <v>0</v>
      </c>
      <c r="AT50" s="72">
        <f t="shared" si="56"/>
        <v>0</v>
      </c>
      <c r="AU50" s="72">
        <f t="shared" si="57"/>
        <v>0</v>
      </c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1"/>
    </row>
    <row r="51" spans="1:58" ht="15.75" x14ac:dyDescent="0.25">
      <c r="A51" s="929"/>
      <c r="B51" s="53" t="str">
        <f t="shared" si="8"/>
        <v/>
      </c>
      <c r="C51" s="375">
        <f t="shared" si="59"/>
        <v>46</v>
      </c>
      <c r="D51" s="395"/>
      <c r="E51" s="396"/>
      <c r="F51" s="397"/>
      <c r="G51" s="395"/>
      <c r="H51" s="404">
        <f t="shared" si="0"/>
        <v>0</v>
      </c>
      <c r="I51" s="421">
        <f>IF($Q$1&gt;0,TGsh!E49*$M$4%+TGsh!F49*(1-$M$4%),0)</f>
        <v>0</v>
      </c>
      <c r="J51" s="411">
        <f t="shared" si="60"/>
        <v>0</v>
      </c>
      <c r="K51" s="299" t="str">
        <f>$K$9</f>
        <v xml:space="preserve">Mort + Sel Sem </v>
      </c>
      <c r="L51" s="291">
        <f>SUM(L49:L50)</f>
        <v>0</v>
      </c>
      <c r="M51" s="433">
        <f>IF(J47&gt;0,L51/J47,0)</f>
        <v>0</v>
      </c>
      <c r="N51" s="434">
        <f t="shared" ref="N51" ca="1" si="85">SUM(N49:N50)</f>
        <v>0</v>
      </c>
      <c r="O51" s="26"/>
      <c r="P51" s="32"/>
      <c r="Q51" s="32"/>
      <c r="R51" s="315">
        <f t="shared" si="62"/>
        <v>0</v>
      </c>
      <c r="S51" s="320"/>
      <c r="T51" s="32"/>
      <c r="U51" s="321"/>
      <c r="V51" s="35">
        <f t="shared" si="17"/>
        <v>0</v>
      </c>
      <c r="W51" s="306"/>
      <c r="X51" s="32"/>
      <c r="Y51" s="32"/>
      <c r="Z51" s="35">
        <f t="shared" si="18"/>
        <v>0</v>
      </c>
      <c r="AA51" s="367">
        <f t="shared" si="13"/>
        <v>0</v>
      </c>
      <c r="AB51" s="368">
        <f t="shared" si="50"/>
        <v>0</v>
      </c>
      <c r="AC51" s="369">
        <f t="shared" si="63"/>
        <v>0</v>
      </c>
      <c r="AD51" s="327">
        <f t="shared" si="51"/>
        <v>0</v>
      </c>
      <c r="AE51" s="328">
        <f t="shared" si="64"/>
        <v>0</v>
      </c>
      <c r="AF51" s="350">
        <f t="shared" si="52"/>
        <v>0</v>
      </c>
      <c r="AG51" s="29">
        <f t="shared" si="53"/>
        <v>0</v>
      </c>
      <c r="AH51" s="47">
        <f>IF($M$3&gt;0,TGsh!C49*$M$4%+TGsh!D49*(1-$M$4%),0)</f>
        <v>0</v>
      </c>
      <c r="AI51" s="337">
        <f>IF(SUM(AD48:AD54)&gt;0,AVERAGEIF(AD48:AD54,"&gt;0",AH48:AH54),0)</f>
        <v>0</v>
      </c>
      <c r="AJ51" s="5" t="str">
        <f t="shared" ref="AJ51" si="86">AJ44</f>
        <v>Gan Dia</v>
      </c>
      <c r="AK51" s="6">
        <f>IF(AND(AK43&gt;0,AK50&gt;0),(AK50-AK43)/(COUNTIF(AD48:AD54,"&gt;0")),0)</f>
        <v>0</v>
      </c>
      <c r="AL51" s="43">
        <f>IF(AND(AL43&gt;0,AL50&gt;0,COUNTIF(AD48:AD54,"&gt;0")),(AL50-AL43)/COUNTIF(AD48:AD54,"&gt;0"),0)</f>
        <v>0</v>
      </c>
      <c r="AM51" s="10" t="str">
        <f>IF(AK51&gt;0,(AK51-AL51)/AL51*100,"")</f>
        <v/>
      </c>
      <c r="AN51" s="354"/>
      <c r="AO51" s="354"/>
      <c r="AP51" s="50"/>
      <c r="AQ51" s="50"/>
      <c r="AR51" s="50"/>
      <c r="AS51" s="72">
        <f t="shared" si="55"/>
        <v>0</v>
      </c>
      <c r="AT51" s="72">
        <f t="shared" si="56"/>
        <v>0</v>
      </c>
      <c r="AU51" s="72">
        <f t="shared" si="57"/>
        <v>0</v>
      </c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1"/>
    </row>
    <row r="52" spans="1:58" ht="15.75" customHeight="1" x14ac:dyDescent="0.25">
      <c r="A52" s="929"/>
      <c r="B52" s="53" t="str">
        <f t="shared" si="8"/>
        <v/>
      </c>
      <c r="C52" s="375">
        <f t="shared" si="59"/>
        <v>47</v>
      </c>
      <c r="D52" s="395"/>
      <c r="E52" s="396"/>
      <c r="F52" s="397"/>
      <c r="G52" s="395"/>
      <c r="H52" s="404">
        <f t="shared" si="0"/>
        <v>0</v>
      </c>
      <c r="I52" s="421">
        <f>IF($Q$1&gt;0,TGsh!E50*$M$4%+TGsh!F50*(1-$M$4%),0)</f>
        <v>0</v>
      </c>
      <c r="J52" s="411">
        <f t="shared" si="60"/>
        <v>0</v>
      </c>
      <c r="K52" s="300" t="str">
        <f>$K$10</f>
        <v xml:space="preserve">Mort Acum </v>
      </c>
      <c r="L52" s="292">
        <f>L49+L45</f>
        <v>0</v>
      </c>
      <c r="M52" s="435">
        <f>IF($M$3&gt;0,L52/$M$3,0)</f>
        <v>0</v>
      </c>
      <c r="N52" s="436">
        <f ca="1">TGsh!H52</f>
        <v>0</v>
      </c>
      <c r="O52" s="26"/>
      <c r="P52" s="32"/>
      <c r="Q52" s="32"/>
      <c r="R52" s="315">
        <f t="shared" si="62"/>
        <v>0</v>
      </c>
      <c r="S52" s="320"/>
      <c r="T52" s="32"/>
      <c r="U52" s="321"/>
      <c r="V52" s="35">
        <f t="shared" si="17"/>
        <v>0</v>
      </c>
      <c r="W52" s="306"/>
      <c r="X52" s="32"/>
      <c r="Y52" s="32"/>
      <c r="Z52" s="35">
        <f t="shared" si="18"/>
        <v>0</v>
      </c>
      <c r="AA52" s="367">
        <f t="shared" si="13"/>
        <v>0</v>
      </c>
      <c r="AB52" s="368">
        <f t="shared" si="50"/>
        <v>0</v>
      </c>
      <c r="AC52" s="369">
        <f t="shared" si="63"/>
        <v>0</v>
      </c>
      <c r="AD52" s="327">
        <f t="shared" si="51"/>
        <v>0</v>
      </c>
      <c r="AE52" s="328">
        <f t="shared" si="64"/>
        <v>0</v>
      </c>
      <c r="AF52" s="350">
        <f t="shared" si="52"/>
        <v>0</v>
      </c>
      <c r="AG52" s="29">
        <f t="shared" si="53"/>
        <v>0</v>
      </c>
      <c r="AH52" s="47">
        <f>IF($M$3&gt;0,TGsh!C50*$M$4%+TGsh!D50*(1-$M$4%),0)</f>
        <v>0</v>
      </c>
      <c r="AI52" s="891" t="s">
        <v>46</v>
      </c>
      <c r="AJ52" s="7" t="str">
        <f>$AJ$10</f>
        <v>Conversión</v>
      </c>
      <c r="AK52" s="13">
        <f>IF(AK50&gt;0,AK49/AK50,0)</f>
        <v>0</v>
      </c>
      <c r="AL52" s="44">
        <f>IF(AL50&gt;0,AL49/AL50,0)</f>
        <v>0</v>
      </c>
      <c r="AM52" s="11" t="str">
        <f>IF(AK50&gt;0,-(AK52-AL52)/AL52*100,"")</f>
        <v/>
      </c>
      <c r="AN52" s="50"/>
      <c r="AO52" s="50"/>
      <c r="AP52" s="50"/>
      <c r="AQ52" s="50"/>
      <c r="AR52" s="50"/>
      <c r="AS52" s="72">
        <f t="shared" si="55"/>
        <v>0</v>
      </c>
      <c r="AT52" s="72">
        <f t="shared" si="56"/>
        <v>0</v>
      </c>
      <c r="AU52" s="72">
        <f t="shared" si="57"/>
        <v>0</v>
      </c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1"/>
    </row>
    <row r="53" spans="1:58" ht="15.75" x14ac:dyDescent="0.25">
      <c r="A53" s="929"/>
      <c r="B53" s="53" t="str">
        <f t="shared" si="8"/>
        <v/>
      </c>
      <c r="C53" s="375">
        <f t="shared" si="59"/>
        <v>48</v>
      </c>
      <c r="D53" s="395"/>
      <c r="E53" s="396"/>
      <c r="F53" s="397"/>
      <c r="G53" s="409"/>
      <c r="H53" s="405">
        <f t="shared" si="0"/>
        <v>0</v>
      </c>
      <c r="I53" s="420">
        <f>IF($Q$1&gt;0,TGsh!E51*$M$4%+TGsh!F51*(1-$M$4%),0)</f>
        <v>0</v>
      </c>
      <c r="J53" s="412">
        <f t="shared" si="60"/>
        <v>0</v>
      </c>
      <c r="K53" s="298" t="str">
        <f>$K$11</f>
        <v xml:space="preserve">Sel Acum </v>
      </c>
      <c r="L53" s="290">
        <f>L50+L46</f>
        <v>0</v>
      </c>
      <c r="M53" s="431">
        <f>IF($M$3&gt;0,L53/$M$3,0)</f>
        <v>0</v>
      </c>
      <c r="N53" s="437">
        <f t="shared" ref="N53" si="87">N50+N46</f>
        <v>0</v>
      </c>
      <c r="O53" s="26"/>
      <c r="P53" s="32"/>
      <c r="Q53" s="32"/>
      <c r="R53" s="315">
        <f t="shared" si="62"/>
        <v>0</v>
      </c>
      <c r="S53" s="320"/>
      <c r="T53" s="32"/>
      <c r="U53" s="321"/>
      <c r="V53" s="35">
        <f t="shared" si="17"/>
        <v>0</v>
      </c>
      <c r="W53" s="306"/>
      <c r="X53" s="32"/>
      <c r="Y53" s="32"/>
      <c r="Z53" s="35">
        <f t="shared" si="18"/>
        <v>0</v>
      </c>
      <c r="AA53" s="367">
        <f t="shared" si="13"/>
        <v>0</v>
      </c>
      <c r="AB53" s="368">
        <f t="shared" si="50"/>
        <v>0</v>
      </c>
      <c r="AC53" s="369">
        <f t="shared" si="63"/>
        <v>0</v>
      </c>
      <c r="AD53" s="327">
        <f t="shared" si="51"/>
        <v>0</v>
      </c>
      <c r="AE53" s="328">
        <f t="shared" si="64"/>
        <v>0</v>
      </c>
      <c r="AF53" s="350">
        <f t="shared" si="52"/>
        <v>0</v>
      </c>
      <c r="AG53" s="29">
        <f t="shared" si="53"/>
        <v>0</v>
      </c>
      <c r="AH53" s="47">
        <f>IF($M$3&gt;0,TGsh!C51*$M$4%+TGsh!D51*(1-$M$4%),0)</f>
        <v>0</v>
      </c>
      <c r="AI53" s="892"/>
      <c r="AJ53" s="7" t="str">
        <f>$AJ$11</f>
        <v>Ef. Alim</v>
      </c>
      <c r="AK53" s="12">
        <f>IF(AK52&gt;0,AK50/AK52/10,0)</f>
        <v>0</v>
      </c>
      <c r="AL53" s="45">
        <f>IF(AL52&gt;0,AL50/AL52/10,0)</f>
        <v>0</v>
      </c>
      <c r="AM53" s="11" t="str">
        <f>IF(AK53&gt;0,(AK53-AL53)/AL53*100,"")</f>
        <v/>
      </c>
      <c r="AN53" s="50"/>
      <c r="AO53" s="50"/>
      <c r="AP53" s="50"/>
      <c r="AQ53" s="50"/>
      <c r="AR53" s="50"/>
      <c r="AS53" s="72">
        <f t="shared" si="55"/>
        <v>0</v>
      </c>
      <c r="AT53" s="72">
        <f t="shared" si="56"/>
        <v>0</v>
      </c>
      <c r="AU53" s="72">
        <f t="shared" si="57"/>
        <v>0</v>
      </c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1"/>
    </row>
    <row r="54" spans="1:58" ht="16.5" thickBot="1" x14ac:dyDescent="0.3">
      <c r="A54" s="930"/>
      <c r="B54" s="54" t="str">
        <f t="shared" si="8"/>
        <v/>
      </c>
      <c r="C54" s="376">
        <f t="shared" si="59"/>
        <v>49</v>
      </c>
      <c r="D54" s="400"/>
      <c r="E54" s="401"/>
      <c r="F54" s="402"/>
      <c r="G54" s="400"/>
      <c r="H54" s="406">
        <f t="shared" si="0"/>
        <v>0</v>
      </c>
      <c r="I54" s="419">
        <f>IF($Q$1&gt;0,TGsh!E52*$M$4%+TGsh!F52*(1-$M$4%),0)</f>
        <v>0</v>
      </c>
      <c r="J54" s="56">
        <f t="shared" si="60"/>
        <v>0</v>
      </c>
      <c r="K54" s="301" t="str">
        <f>$K$12</f>
        <v xml:space="preserve">Mort + Sel Acum </v>
      </c>
      <c r="L54" s="293">
        <f>L51+L47</f>
        <v>0</v>
      </c>
      <c r="M54" s="438">
        <f>IF($M$3&gt;0,L54/$M$3,0)</f>
        <v>0</v>
      </c>
      <c r="N54" s="439">
        <f t="shared" ref="N54" ca="1" si="88">SUM(N52:N53)</f>
        <v>0</v>
      </c>
      <c r="O54" s="27"/>
      <c r="P54" s="33"/>
      <c r="Q54" s="33"/>
      <c r="R54" s="316">
        <f t="shared" si="62"/>
        <v>0</v>
      </c>
      <c r="S54" s="322"/>
      <c r="T54" s="33"/>
      <c r="U54" s="323"/>
      <c r="V54" s="324">
        <f t="shared" si="17"/>
        <v>0</v>
      </c>
      <c r="W54" s="307"/>
      <c r="X54" s="33"/>
      <c r="Y54" s="33"/>
      <c r="Z54" s="36">
        <f t="shared" si="18"/>
        <v>0</v>
      </c>
      <c r="AA54" s="370">
        <f t="shared" si="13"/>
        <v>0</v>
      </c>
      <c r="AB54" s="371">
        <f t="shared" si="50"/>
        <v>0</v>
      </c>
      <c r="AC54" s="372">
        <f t="shared" si="63"/>
        <v>0</v>
      </c>
      <c r="AD54" s="351">
        <f t="shared" si="51"/>
        <v>0</v>
      </c>
      <c r="AE54" s="502">
        <f t="shared" si="64"/>
        <v>0</v>
      </c>
      <c r="AF54" s="352">
        <f t="shared" si="52"/>
        <v>0</v>
      </c>
      <c r="AG54" s="30">
        <f t="shared" si="53"/>
        <v>0</v>
      </c>
      <c r="AH54" s="48">
        <f>IF($M$3&gt;0,TGsh!C52*$M$4%+TGsh!D52*(1-$M$4%),0)</f>
        <v>0</v>
      </c>
      <c r="AI54" s="342">
        <f>IF('Liq-Zoot'!$F$31&gt;0,AK50/1000*J54/'Liq-Zoot'!$F$31,0)</f>
        <v>0</v>
      </c>
      <c r="AJ54" s="343" t="str">
        <f>$AJ$12</f>
        <v>Fact. IP</v>
      </c>
      <c r="AK54" s="344">
        <f>IF(AK52&gt;0,AK53/AK52,0)</f>
        <v>0</v>
      </c>
      <c r="AL54" s="345">
        <f>IF(AL52&gt;0,AL53/AL52,0)</f>
        <v>0</v>
      </c>
      <c r="AM54" s="346" t="str">
        <f>IF(AK54&gt;0,(AK54-AL54)/AL54*100,"")</f>
        <v/>
      </c>
      <c r="AN54" s="50"/>
      <c r="AO54" s="50"/>
      <c r="AP54" s="50"/>
      <c r="AQ54" s="50"/>
      <c r="AR54" s="50"/>
      <c r="AS54" s="72">
        <f t="shared" si="55"/>
        <v>0</v>
      </c>
      <c r="AT54" s="72">
        <f t="shared" si="56"/>
        <v>0</v>
      </c>
      <c r="AU54" s="72">
        <f t="shared" si="57"/>
        <v>0</v>
      </c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1"/>
    </row>
    <row r="55" spans="1:58" ht="15.75" customHeight="1" x14ac:dyDescent="0.25">
      <c r="A55" s="928" t="s">
        <v>31</v>
      </c>
      <c r="B55" s="52" t="str">
        <f t="shared" si="8"/>
        <v/>
      </c>
      <c r="C55" s="374">
        <f t="shared" si="59"/>
        <v>50</v>
      </c>
      <c r="D55" s="392"/>
      <c r="E55" s="393"/>
      <c r="F55" s="394"/>
      <c r="G55" s="392"/>
      <c r="H55" s="403">
        <f t="shared" si="0"/>
        <v>0</v>
      </c>
      <c r="I55" s="418">
        <f>IF($Q$1&gt;0,TGsh!E53*$M$4%+TGsh!F53*(1-$M$4%),0)</f>
        <v>0</v>
      </c>
      <c r="J55" s="55">
        <f t="shared" si="60"/>
        <v>0</v>
      </c>
      <c r="K55" s="294" t="str">
        <f>$K$6</f>
        <v>Item</v>
      </c>
      <c r="L55" s="295" t="str">
        <f>$L$6</f>
        <v>#</v>
      </c>
      <c r="M55" s="295" t="str">
        <f>$M$6</f>
        <v>Real %</v>
      </c>
      <c r="N55" s="296" t="str">
        <f t="shared" ref="N55" si="89">$N$6</f>
        <v>Guia %</v>
      </c>
      <c r="O55" s="25"/>
      <c r="P55" s="31"/>
      <c r="Q55" s="31"/>
      <c r="R55" s="314">
        <f t="shared" si="62"/>
        <v>0</v>
      </c>
      <c r="S55" s="318"/>
      <c r="T55" s="31"/>
      <c r="U55" s="319"/>
      <c r="V55" s="34">
        <f t="shared" si="17"/>
        <v>0</v>
      </c>
      <c r="W55" s="305"/>
      <c r="X55" s="31"/>
      <c r="Y55" s="31"/>
      <c r="Z55" s="34">
        <f t="shared" si="18"/>
        <v>0</v>
      </c>
      <c r="AA55" s="364">
        <f t="shared" si="13"/>
        <v>0</v>
      </c>
      <c r="AB55" s="365">
        <f t="shared" si="50"/>
        <v>0</v>
      </c>
      <c r="AC55" s="366">
        <f t="shared" si="63"/>
        <v>0</v>
      </c>
      <c r="AD55" s="325">
        <f t="shared" si="51"/>
        <v>0</v>
      </c>
      <c r="AE55" s="326">
        <f t="shared" si="64"/>
        <v>0</v>
      </c>
      <c r="AF55" s="349">
        <f t="shared" si="52"/>
        <v>0</v>
      </c>
      <c r="AG55" s="28">
        <f t="shared" si="53"/>
        <v>0</v>
      </c>
      <c r="AH55" s="46">
        <f>IF($M$3&gt;0,TGsh!C53*$M$4%+TGsh!D53*(1-$M$4%),0)</f>
        <v>0</v>
      </c>
      <c r="AI55" s="347" t="str">
        <f>$AI$6</f>
        <v>Gr. Obten.</v>
      </c>
      <c r="AJ55" s="335" t="str">
        <f>$AJ$6</f>
        <v>Cons Sem</v>
      </c>
      <c r="AK55" s="3">
        <f>IF((J61+SUM(F55:F61))&gt;0,SUM(AD55:AD61)*40000/(J61+SUM(F55:F61)),0)</f>
        <v>0</v>
      </c>
      <c r="AL55" s="41">
        <f>SUMIF($AD55:$AD61,"&gt;0",AH55:AH61)</f>
        <v>0</v>
      </c>
      <c r="AM55" s="336" t="str">
        <f>IF(AK55&gt;0,(AK55-AL55)/AL55*100,"")</f>
        <v/>
      </c>
      <c r="AN55" s="50"/>
      <c r="AO55" s="50"/>
      <c r="AP55" s="50"/>
      <c r="AQ55" s="50"/>
      <c r="AR55" s="50"/>
      <c r="AS55" s="72">
        <f t="shared" si="55"/>
        <v>0</v>
      </c>
      <c r="AT55" s="72">
        <f t="shared" si="56"/>
        <v>0</v>
      </c>
      <c r="AU55" s="72">
        <f t="shared" si="57"/>
        <v>0</v>
      </c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1"/>
    </row>
    <row r="56" spans="1:58" ht="16.5" thickBot="1" x14ac:dyDescent="0.3">
      <c r="A56" s="929"/>
      <c r="B56" s="53" t="str">
        <f t="shared" si="8"/>
        <v/>
      </c>
      <c r="C56" s="375">
        <f t="shared" si="59"/>
        <v>51</v>
      </c>
      <c r="D56" s="395"/>
      <c r="E56" s="396"/>
      <c r="F56" s="397"/>
      <c r="G56" s="395"/>
      <c r="H56" s="404">
        <f t="shared" si="0"/>
        <v>0</v>
      </c>
      <c r="I56" s="421">
        <f>IF($Q$1&gt;0,TGsh!E54*$M$4%+TGsh!F54*(1-$M$4%),0)</f>
        <v>0</v>
      </c>
      <c r="J56" s="411">
        <f t="shared" si="60"/>
        <v>0</v>
      </c>
      <c r="K56" s="297" t="str">
        <f>$K$7</f>
        <v xml:space="preserve">Mort Sem </v>
      </c>
      <c r="L56" s="289">
        <f>SUM(D55:D61)</f>
        <v>0</v>
      </c>
      <c r="M56" s="429">
        <f>IF(J54&gt;0,L56/J54,0)</f>
        <v>0</v>
      </c>
      <c r="N56" s="430">
        <f ca="1">SUM(TGsh!G53:G59)</f>
        <v>0</v>
      </c>
      <c r="O56" s="26"/>
      <c r="P56" s="32"/>
      <c r="Q56" s="32"/>
      <c r="R56" s="315">
        <f t="shared" si="62"/>
        <v>0</v>
      </c>
      <c r="S56" s="320"/>
      <c r="T56" s="32"/>
      <c r="U56" s="321"/>
      <c r="V56" s="35">
        <f t="shared" si="17"/>
        <v>0</v>
      </c>
      <c r="W56" s="306"/>
      <c r="X56" s="32"/>
      <c r="Y56" s="32"/>
      <c r="Z56" s="35">
        <f t="shared" si="18"/>
        <v>0</v>
      </c>
      <c r="AA56" s="367">
        <f t="shared" si="13"/>
        <v>0</v>
      </c>
      <c r="AB56" s="368">
        <f t="shared" si="50"/>
        <v>0</v>
      </c>
      <c r="AC56" s="369">
        <f t="shared" si="63"/>
        <v>0</v>
      </c>
      <c r="AD56" s="327">
        <f t="shared" si="51"/>
        <v>0</v>
      </c>
      <c r="AE56" s="328">
        <f t="shared" si="64"/>
        <v>0</v>
      </c>
      <c r="AF56" s="350">
        <f t="shared" si="52"/>
        <v>0</v>
      </c>
      <c r="AG56" s="29">
        <f t="shared" si="53"/>
        <v>0</v>
      </c>
      <c r="AH56" s="47">
        <f>IF($M$3&gt;0,TGsh!C54*$M$4%+TGsh!D54*(1-$M$4%),0)</f>
        <v>0</v>
      </c>
      <c r="AI56" s="337">
        <f>IF(SUM(AD55:AD61)&gt;0,AVERAGEIF(AD55:AD61,"&gt;0",AG55:AG61),0)</f>
        <v>0</v>
      </c>
      <c r="AJ56" s="338" t="str">
        <f>$AJ$7</f>
        <v>Cons Acum</v>
      </c>
      <c r="AK56" s="339">
        <f>IF((J61+SUM(F$6:F61))&gt;0,SUM(AD$6:AD61)*40000/(J61+SUM(F$6:F61)),0)</f>
        <v>0</v>
      </c>
      <c r="AL56" s="340">
        <f>AL49+AL55</f>
        <v>0</v>
      </c>
      <c r="AM56" s="341" t="str">
        <f>IF(AK55&gt;0,(AK56-AL56)/AL56*100,"")</f>
        <v/>
      </c>
      <c r="AN56" s="50"/>
      <c r="AO56" s="50"/>
      <c r="AP56" s="50"/>
      <c r="AQ56" s="50"/>
      <c r="AR56" s="50"/>
      <c r="AS56" s="72">
        <f t="shared" si="55"/>
        <v>0</v>
      </c>
      <c r="AT56" s="72">
        <f t="shared" si="56"/>
        <v>0</v>
      </c>
      <c r="AU56" s="72">
        <f t="shared" si="57"/>
        <v>0</v>
      </c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1"/>
    </row>
    <row r="57" spans="1:58" ht="16.5" thickBot="1" x14ac:dyDescent="0.3">
      <c r="A57" s="929"/>
      <c r="B57" s="53" t="str">
        <f t="shared" si="8"/>
        <v/>
      </c>
      <c r="C57" s="375">
        <f t="shared" si="59"/>
        <v>52</v>
      </c>
      <c r="D57" s="395"/>
      <c r="E57" s="396"/>
      <c r="F57" s="397"/>
      <c r="G57" s="395"/>
      <c r="H57" s="404">
        <f t="shared" si="0"/>
        <v>0</v>
      </c>
      <c r="I57" s="421">
        <f>IF($Q$1&gt;0,TGsh!E55*$M$4%+TGsh!F55*(1-$M$4%),0)</f>
        <v>0</v>
      </c>
      <c r="J57" s="411">
        <f t="shared" si="60"/>
        <v>0</v>
      </c>
      <c r="K57" s="298" t="str">
        <f>$K$8</f>
        <v xml:space="preserve">Sel Sem </v>
      </c>
      <c r="L57" s="290">
        <f>SUM(E55:E61)</f>
        <v>0</v>
      </c>
      <c r="M57" s="431">
        <f>IF(J54&gt;0,L57/J54,0)</f>
        <v>0</v>
      </c>
      <c r="N57" s="432">
        <v>0</v>
      </c>
      <c r="O57" s="26"/>
      <c r="P57" s="32"/>
      <c r="Q57" s="32"/>
      <c r="R57" s="315">
        <f t="shared" si="62"/>
        <v>0</v>
      </c>
      <c r="S57" s="320"/>
      <c r="T57" s="32"/>
      <c r="U57" s="321"/>
      <c r="V57" s="35">
        <f t="shared" si="17"/>
        <v>0</v>
      </c>
      <c r="W57" s="306"/>
      <c r="X57" s="32"/>
      <c r="Y57" s="32"/>
      <c r="Z57" s="35">
        <f t="shared" si="18"/>
        <v>0</v>
      </c>
      <c r="AA57" s="367">
        <f t="shared" si="13"/>
        <v>0</v>
      </c>
      <c r="AB57" s="368">
        <f t="shared" si="50"/>
        <v>0</v>
      </c>
      <c r="AC57" s="369">
        <f t="shared" si="63"/>
        <v>0</v>
      </c>
      <c r="AD57" s="327">
        <f t="shared" si="51"/>
        <v>0</v>
      </c>
      <c r="AE57" s="328">
        <f t="shared" si="64"/>
        <v>0</v>
      </c>
      <c r="AF57" s="350">
        <f t="shared" si="52"/>
        <v>0</v>
      </c>
      <c r="AG57" s="29">
        <f t="shared" si="53"/>
        <v>0</v>
      </c>
      <c r="AH57" s="47">
        <f>IF($M$3&gt;0,TGsh!C55*$M$4%+TGsh!D55*(1-$M$4%),0)</f>
        <v>0</v>
      </c>
      <c r="AI57" s="40" t="str">
        <f>$AI$8</f>
        <v>Gr. Guía</v>
      </c>
      <c r="AJ57" s="4" t="str">
        <f>$AJ$8</f>
        <v>Peso Sem</v>
      </c>
      <c r="AK57" s="332">
        <f>IF(SUM($F55:$F61)&gt;0,SUMPRODUCT($F55:$F61,H55:H61)/SUM($F55:$F61),0)</f>
        <v>0</v>
      </c>
      <c r="AL57" s="42">
        <f>IF($Q$1&gt;0,I61,0)</f>
        <v>0</v>
      </c>
      <c r="AM57" s="9" t="str">
        <f>IF(AK57&gt;0,(AK57-AL57)/AL57*100,"")</f>
        <v/>
      </c>
      <c r="AN57" s="50"/>
      <c r="AO57" s="50"/>
      <c r="AP57" s="50"/>
      <c r="AQ57" s="50"/>
      <c r="AR57" s="50"/>
      <c r="AS57" s="72">
        <f t="shared" si="55"/>
        <v>0</v>
      </c>
      <c r="AT57" s="72">
        <f t="shared" si="56"/>
        <v>0</v>
      </c>
      <c r="AU57" s="72">
        <f t="shared" si="57"/>
        <v>0</v>
      </c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1"/>
    </row>
    <row r="58" spans="1:58" ht="15.75" x14ac:dyDescent="0.25">
      <c r="A58" s="929"/>
      <c r="B58" s="53" t="str">
        <f t="shared" si="8"/>
        <v/>
      </c>
      <c r="C58" s="375">
        <f t="shared" si="59"/>
        <v>53</v>
      </c>
      <c r="D58" s="395"/>
      <c r="E58" s="396"/>
      <c r="F58" s="397"/>
      <c r="G58" s="395"/>
      <c r="H58" s="404">
        <f t="shared" si="0"/>
        <v>0</v>
      </c>
      <c r="I58" s="421">
        <f>IF($Q$1&gt;0,TGsh!E56*$M$4%+TGsh!F56*(1-$M$4%),0)</f>
        <v>0</v>
      </c>
      <c r="J58" s="411">
        <f t="shared" si="60"/>
        <v>0</v>
      </c>
      <c r="K58" s="299" t="str">
        <f>$K$9</f>
        <v xml:space="preserve">Mort + Sel Sem </v>
      </c>
      <c r="L58" s="291">
        <f>SUM(L56:L57)</f>
        <v>0</v>
      </c>
      <c r="M58" s="433">
        <f>IF(J54&gt;0,L58/J54,0)</f>
        <v>0</v>
      </c>
      <c r="N58" s="434">
        <f t="shared" ref="N58" ca="1" si="90">SUM(N56:N57)</f>
        <v>0</v>
      </c>
      <c r="O58" s="26"/>
      <c r="P58" s="32"/>
      <c r="Q58" s="32"/>
      <c r="R58" s="315">
        <f t="shared" si="62"/>
        <v>0</v>
      </c>
      <c r="S58" s="320"/>
      <c r="T58" s="32"/>
      <c r="U58" s="321"/>
      <c r="V58" s="35">
        <f t="shared" si="17"/>
        <v>0</v>
      </c>
      <c r="W58" s="306"/>
      <c r="X58" s="32"/>
      <c r="Y58" s="32"/>
      <c r="Z58" s="35">
        <f t="shared" si="18"/>
        <v>0</v>
      </c>
      <c r="AA58" s="367">
        <f t="shared" si="13"/>
        <v>0</v>
      </c>
      <c r="AB58" s="368">
        <f t="shared" si="50"/>
        <v>0</v>
      </c>
      <c r="AC58" s="369">
        <f t="shared" si="63"/>
        <v>0</v>
      </c>
      <c r="AD58" s="327">
        <f t="shared" si="51"/>
        <v>0</v>
      </c>
      <c r="AE58" s="328">
        <f t="shared" si="64"/>
        <v>0</v>
      </c>
      <c r="AF58" s="350">
        <f t="shared" si="52"/>
        <v>0</v>
      </c>
      <c r="AG58" s="29">
        <f t="shared" si="53"/>
        <v>0</v>
      </c>
      <c r="AH58" s="47">
        <f>IF($M$3&gt;0,TGsh!C56*$M$4%+TGsh!D56*(1-$M$4%),0)</f>
        <v>0</v>
      </c>
      <c r="AI58" s="337">
        <f>IF(SUM(AD55:AD61)&gt;0,AVERAGEIF(AD55:AD61,"&gt;0",AH55:AH61),0)</f>
        <v>0</v>
      </c>
      <c r="AJ58" s="5" t="str">
        <f t="shared" ref="AJ58" si="91">AJ51</f>
        <v>Gan Dia</v>
      </c>
      <c r="AK58" s="6">
        <f>IF(AND(AK50&gt;0,AK57&gt;0),(AK57-AK50)/(COUNTIF(AD55:AD61,"&gt;0")),0)</f>
        <v>0</v>
      </c>
      <c r="AL58" s="43">
        <f>IF(AND(AL50&gt;0,AL57&gt;0,COUNTIF(AD55:AD61,"&gt;0")),(AL57-AL50)/COUNTIF(AD55:AD61,"&gt;0"),0)</f>
        <v>0</v>
      </c>
      <c r="AM58" s="10" t="str">
        <f>IF(AK58&gt;0,(AK58-AL58)/AL58*100,"")</f>
        <v/>
      </c>
      <c r="AN58" s="354"/>
      <c r="AO58" s="354"/>
      <c r="AP58" s="50"/>
      <c r="AQ58" s="50"/>
      <c r="AR58" s="50"/>
      <c r="AS58" s="72">
        <f t="shared" si="55"/>
        <v>0</v>
      </c>
      <c r="AT58" s="72">
        <f t="shared" si="56"/>
        <v>0</v>
      </c>
      <c r="AU58" s="72">
        <f t="shared" si="57"/>
        <v>0</v>
      </c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1"/>
    </row>
    <row r="59" spans="1:58" ht="15.75" customHeight="1" x14ac:dyDescent="0.25">
      <c r="A59" s="929"/>
      <c r="B59" s="53" t="str">
        <f t="shared" si="8"/>
        <v/>
      </c>
      <c r="C59" s="375">
        <f t="shared" si="59"/>
        <v>54</v>
      </c>
      <c r="D59" s="395"/>
      <c r="E59" s="396"/>
      <c r="F59" s="397"/>
      <c r="G59" s="395"/>
      <c r="H59" s="404">
        <f t="shared" si="0"/>
        <v>0</v>
      </c>
      <c r="I59" s="421">
        <f>IF($Q$1&gt;0,TGsh!E57*$M$4%+TGsh!F57*(1-$M$4%),0)</f>
        <v>0</v>
      </c>
      <c r="J59" s="411">
        <f t="shared" si="60"/>
        <v>0</v>
      </c>
      <c r="K59" s="300" t="str">
        <f>$K$10</f>
        <v xml:space="preserve">Mort Acum </v>
      </c>
      <c r="L59" s="292">
        <f>L56+L52</f>
        <v>0</v>
      </c>
      <c r="M59" s="435">
        <f>IF($M$3&gt;0,L59/$M$3,0)</f>
        <v>0</v>
      </c>
      <c r="N59" s="436">
        <f ca="1">TGsh!H59</f>
        <v>0</v>
      </c>
      <c r="O59" s="26"/>
      <c r="P59" s="32"/>
      <c r="Q59" s="32"/>
      <c r="R59" s="315">
        <f t="shared" si="62"/>
        <v>0</v>
      </c>
      <c r="S59" s="320"/>
      <c r="T59" s="32"/>
      <c r="U59" s="321"/>
      <c r="V59" s="35">
        <f t="shared" si="17"/>
        <v>0</v>
      </c>
      <c r="W59" s="306"/>
      <c r="X59" s="32"/>
      <c r="Y59" s="32"/>
      <c r="Z59" s="35">
        <f t="shared" si="18"/>
        <v>0</v>
      </c>
      <c r="AA59" s="367">
        <f t="shared" si="13"/>
        <v>0</v>
      </c>
      <c r="AB59" s="368">
        <f t="shared" si="50"/>
        <v>0</v>
      </c>
      <c r="AC59" s="369">
        <f t="shared" si="63"/>
        <v>0</v>
      </c>
      <c r="AD59" s="327">
        <f t="shared" si="51"/>
        <v>0</v>
      </c>
      <c r="AE59" s="328">
        <f t="shared" si="64"/>
        <v>0</v>
      </c>
      <c r="AF59" s="350">
        <f t="shared" si="52"/>
        <v>0</v>
      </c>
      <c r="AG59" s="29">
        <f t="shared" si="53"/>
        <v>0</v>
      </c>
      <c r="AH59" s="47">
        <f>IF($M$3&gt;0,TGsh!C57*$M$4%+TGsh!D57*(1-$M$4%),0)</f>
        <v>0</v>
      </c>
      <c r="AI59" s="891" t="s">
        <v>46</v>
      </c>
      <c r="AJ59" s="7" t="str">
        <f>$AJ$10</f>
        <v>Conversión</v>
      </c>
      <c r="AK59" s="13">
        <f>IF(AK57&gt;0,AK56/AK57,0)</f>
        <v>0</v>
      </c>
      <c r="AL59" s="44">
        <f>IF(AL57&gt;0,AL56/AL57,0)</f>
        <v>0</v>
      </c>
      <c r="AM59" s="11" t="str">
        <f>IF(AK57&gt;0,-(AK59-AL59)/AL59*100,"")</f>
        <v/>
      </c>
      <c r="AN59" s="50"/>
      <c r="AO59" s="50"/>
      <c r="AP59" s="50"/>
      <c r="AQ59" s="50"/>
      <c r="AR59" s="50"/>
      <c r="AS59" s="72">
        <f t="shared" si="55"/>
        <v>0</v>
      </c>
      <c r="AT59" s="72">
        <f t="shared" si="56"/>
        <v>0</v>
      </c>
      <c r="AU59" s="72">
        <f t="shared" si="57"/>
        <v>0</v>
      </c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1"/>
    </row>
    <row r="60" spans="1:58" ht="15.75" x14ac:dyDescent="0.25">
      <c r="A60" s="929"/>
      <c r="B60" s="53" t="str">
        <f t="shared" si="8"/>
        <v/>
      </c>
      <c r="C60" s="375">
        <f t="shared" si="59"/>
        <v>55</v>
      </c>
      <c r="D60" s="395"/>
      <c r="E60" s="396"/>
      <c r="F60" s="397"/>
      <c r="G60" s="409"/>
      <c r="H60" s="405">
        <f t="shared" si="0"/>
        <v>0</v>
      </c>
      <c r="I60" s="420">
        <f>IF($Q$1&gt;0,TGsh!E58*$M$4%+TGsh!F58*(1-$M$4%),0)</f>
        <v>0</v>
      </c>
      <c r="J60" s="412">
        <f t="shared" si="60"/>
        <v>0</v>
      </c>
      <c r="K60" s="298" t="str">
        <f>$K$11</f>
        <v xml:space="preserve">Sel Acum </v>
      </c>
      <c r="L60" s="290">
        <f>L57+L53</f>
        <v>0</v>
      </c>
      <c r="M60" s="431">
        <f>IF($M$3&gt;0,L60/$M$3,0)</f>
        <v>0</v>
      </c>
      <c r="N60" s="437">
        <f t="shared" ref="N60" si="92">N57+N53</f>
        <v>0</v>
      </c>
      <c r="O60" s="26"/>
      <c r="P60" s="32"/>
      <c r="Q60" s="32"/>
      <c r="R60" s="315">
        <f t="shared" si="62"/>
        <v>0</v>
      </c>
      <c r="S60" s="320"/>
      <c r="T60" s="32"/>
      <c r="U60" s="321"/>
      <c r="V60" s="35">
        <f t="shared" si="17"/>
        <v>0</v>
      </c>
      <c r="W60" s="306"/>
      <c r="X60" s="32"/>
      <c r="Y60" s="32"/>
      <c r="Z60" s="35">
        <f t="shared" si="18"/>
        <v>0</v>
      </c>
      <c r="AA60" s="367">
        <f t="shared" si="13"/>
        <v>0</v>
      </c>
      <c r="AB60" s="368">
        <f t="shared" si="50"/>
        <v>0</v>
      </c>
      <c r="AC60" s="369">
        <f t="shared" si="63"/>
        <v>0</v>
      </c>
      <c r="AD60" s="327">
        <f t="shared" si="51"/>
        <v>0</v>
      </c>
      <c r="AE60" s="328">
        <f t="shared" si="64"/>
        <v>0</v>
      </c>
      <c r="AF60" s="350">
        <f t="shared" si="52"/>
        <v>0</v>
      </c>
      <c r="AG60" s="29">
        <f t="shared" si="53"/>
        <v>0</v>
      </c>
      <c r="AH60" s="47">
        <f>IF($M$3&gt;0,TGsh!C58*$M$4%+TGsh!D58*(1-$M$4%),0)</f>
        <v>0</v>
      </c>
      <c r="AI60" s="892"/>
      <c r="AJ60" s="7" t="str">
        <f>$AJ$11</f>
        <v>Ef. Alim</v>
      </c>
      <c r="AK60" s="12">
        <f>IF(AK59&gt;0,AK57/AK59/10,0)</f>
        <v>0</v>
      </c>
      <c r="AL60" s="45">
        <f>IF(AL59&gt;0,AL57/AL59/10,0)</f>
        <v>0</v>
      </c>
      <c r="AM60" s="11" t="str">
        <f>IF(AK60&gt;0,(AK60-AL60)/AL60*100,"")</f>
        <v/>
      </c>
      <c r="AN60" s="50"/>
      <c r="AO60" s="50"/>
      <c r="AP60" s="50"/>
      <c r="AQ60" s="50"/>
      <c r="AR60" s="50"/>
      <c r="AS60" s="72">
        <f t="shared" si="55"/>
        <v>0</v>
      </c>
      <c r="AT60" s="72">
        <f t="shared" si="56"/>
        <v>0</v>
      </c>
      <c r="AU60" s="72">
        <f t="shared" si="57"/>
        <v>0</v>
      </c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1"/>
    </row>
    <row r="61" spans="1:58" ht="16.5" thickBot="1" x14ac:dyDescent="0.3">
      <c r="A61" s="930"/>
      <c r="B61" s="54" t="str">
        <f t="shared" si="8"/>
        <v/>
      </c>
      <c r="C61" s="408">
        <f t="shared" si="59"/>
        <v>56</v>
      </c>
      <c r="D61" s="409"/>
      <c r="E61" s="398"/>
      <c r="F61" s="399"/>
      <c r="G61" s="409"/>
      <c r="H61" s="405">
        <f t="shared" si="0"/>
        <v>0</v>
      </c>
      <c r="I61" s="419">
        <f>IF($Q$1&gt;0,TGsh!E59*$M$4%+TGsh!F59*(1-$M$4%),0)</f>
        <v>0</v>
      </c>
      <c r="J61" s="56">
        <f t="shared" si="60"/>
        <v>0</v>
      </c>
      <c r="K61" s="301" t="str">
        <f>$K$12</f>
        <v xml:space="preserve">Mort + Sel Acum </v>
      </c>
      <c r="L61" s="293">
        <f>L58+L54</f>
        <v>0</v>
      </c>
      <c r="M61" s="438">
        <f>IF($M$3&gt;0,L61/$M$3,0)</f>
        <v>0</v>
      </c>
      <c r="N61" s="439">
        <f t="shared" ref="N61" ca="1" si="93">SUM(N59:N60)</f>
        <v>0</v>
      </c>
      <c r="O61" s="27"/>
      <c r="P61" s="33"/>
      <c r="Q61" s="33"/>
      <c r="R61" s="316">
        <f t="shared" si="62"/>
        <v>0</v>
      </c>
      <c r="S61" s="322"/>
      <c r="T61" s="33"/>
      <c r="U61" s="323"/>
      <c r="V61" s="324">
        <f t="shared" si="17"/>
        <v>0</v>
      </c>
      <c r="W61" s="307"/>
      <c r="X61" s="33"/>
      <c r="Y61" s="33"/>
      <c r="Z61" s="36">
        <f t="shared" si="18"/>
        <v>0</v>
      </c>
      <c r="AA61" s="370">
        <f t="shared" si="13"/>
        <v>0</v>
      </c>
      <c r="AB61" s="371">
        <f t="shared" si="50"/>
        <v>0</v>
      </c>
      <c r="AC61" s="372">
        <f t="shared" si="63"/>
        <v>0</v>
      </c>
      <c r="AD61" s="351">
        <f t="shared" si="51"/>
        <v>0</v>
      </c>
      <c r="AE61" s="502">
        <f t="shared" si="64"/>
        <v>0</v>
      </c>
      <c r="AF61" s="352">
        <f t="shared" si="52"/>
        <v>0</v>
      </c>
      <c r="AG61" s="30">
        <f t="shared" si="53"/>
        <v>0</v>
      </c>
      <c r="AH61" s="48">
        <f>IF($M$3&gt;0,TGsh!C59*$M$4%+TGsh!D59*(1-$M$4%),0)</f>
        <v>0</v>
      </c>
      <c r="AI61" s="342">
        <f>IF('Liq-Zoot'!$F$31&gt;0,AK57/1000*J61/'Liq-Zoot'!$F$31,0)</f>
        <v>0</v>
      </c>
      <c r="AJ61" s="343" t="str">
        <f>$AJ$12</f>
        <v>Fact. IP</v>
      </c>
      <c r="AK61" s="344">
        <f>IF(AK59&gt;0,AK60/AK59,0)</f>
        <v>0</v>
      </c>
      <c r="AL61" s="345">
        <f>IF(AL59&gt;0,AL60/AL59,0)</f>
        <v>0</v>
      </c>
      <c r="AM61" s="346" t="str">
        <f>IF(AK61&gt;0,(AK61-AL61)/AL61*100,"")</f>
        <v/>
      </c>
      <c r="AN61" s="50"/>
      <c r="AO61" s="50"/>
      <c r="AP61" s="50"/>
      <c r="AQ61" s="50"/>
      <c r="AR61" s="50"/>
      <c r="AS61" s="72">
        <f t="shared" si="55"/>
        <v>0</v>
      </c>
      <c r="AT61" s="72">
        <f t="shared" si="56"/>
        <v>0</v>
      </c>
      <c r="AU61" s="72">
        <f t="shared" si="57"/>
        <v>0</v>
      </c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1"/>
    </row>
    <row r="62" spans="1:58" ht="17.25" thickTop="1" thickBot="1" x14ac:dyDescent="0.3">
      <c r="A62" s="50"/>
      <c r="B62" s="50"/>
      <c r="C62" s="407">
        <f>IF(F62&gt;0,SUMPRODUCT(C6:C61,F6:F61)/F62,0)</f>
        <v>0</v>
      </c>
      <c r="D62" s="857" t="str">
        <f>'G1'!$D$62</f>
        <v xml:space="preserve">Total Ventas : </v>
      </c>
      <c r="E62" s="858"/>
      <c r="F62" s="391">
        <f>SUM(F6:F61)</f>
        <v>0</v>
      </c>
      <c r="G62" s="416">
        <f>SUM(G6:G61)</f>
        <v>0</v>
      </c>
      <c r="H62" s="422">
        <f>IF(F62&gt;0,G62/F62*1000,0)</f>
        <v>0</v>
      </c>
      <c r="I62" s="446">
        <f>IF(F62&gt;0,SUMPRODUCT(F6:F61,I6:I61)/F62,0)</f>
        <v>0</v>
      </c>
      <c r="J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</row>
    <row r="63" spans="1:58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</sheetData>
  <sheetProtection algorithmName="SHA-512" hashValue="MhQd5pG14a0QNYoBux2Arv+GiVu3vPhM+1YtBwTrVHPVEfckA6FWfcRfLpGzKrFbxB6oaNmsCBo//6QeCyJ/zQ==" saltValue="254yhpGUtMFRJQq3qvc4Eg==" spinCount="100000" sheet="1" formatCells="0" formatColumns="0" formatRows="0" sort="0" autoFilter="0"/>
  <autoFilter ref="B5:B61" xr:uid="{00000000-0009-0000-0000-000002000000}"/>
  <mergeCells count="66">
    <mergeCell ref="H3:J3"/>
    <mergeCell ref="K2:L2"/>
    <mergeCell ref="M4:N4"/>
    <mergeCell ref="E4:F4"/>
    <mergeCell ref="A27:A33"/>
    <mergeCell ref="A20:A26"/>
    <mergeCell ref="A13:A19"/>
    <mergeCell ref="A6:A12"/>
    <mergeCell ref="A34:A40"/>
    <mergeCell ref="A55:A61"/>
    <mergeCell ref="A48:A54"/>
    <mergeCell ref="A41:A47"/>
    <mergeCell ref="W2:X2"/>
    <mergeCell ref="A1:C4"/>
    <mergeCell ref="U4:V4"/>
    <mergeCell ref="Q1:R1"/>
    <mergeCell ref="Q2:R2"/>
    <mergeCell ref="S2:T2"/>
    <mergeCell ref="W1:X1"/>
    <mergeCell ref="D1:G1"/>
    <mergeCell ref="D2:G2"/>
    <mergeCell ref="D3:G3"/>
    <mergeCell ref="H1:J1"/>
    <mergeCell ref="H2:J2"/>
    <mergeCell ref="AG1:AI1"/>
    <mergeCell ref="AG2:AI2"/>
    <mergeCell ref="AG3:AI3"/>
    <mergeCell ref="M1:N1"/>
    <mergeCell ref="M2:N2"/>
    <mergeCell ref="M3:N3"/>
    <mergeCell ref="AD1:AF1"/>
    <mergeCell ref="AD2:AF2"/>
    <mergeCell ref="AD3:AF3"/>
    <mergeCell ref="S1:T1"/>
    <mergeCell ref="Y2:Z2"/>
    <mergeCell ref="O1:P1"/>
    <mergeCell ref="O2:P2"/>
    <mergeCell ref="Y1:Z1"/>
    <mergeCell ref="AA3:AB3"/>
    <mergeCell ref="AA1:AB1"/>
    <mergeCell ref="AA4:AH4"/>
    <mergeCell ref="AI59:AI60"/>
    <mergeCell ref="AI17:AI18"/>
    <mergeCell ref="AI4:AM4"/>
    <mergeCell ref="AI24:AI25"/>
    <mergeCell ref="AI31:AI32"/>
    <mergeCell ref="AI10:AI11"/>
    <mergeCell ref="AI38:AI39"/>
    <mergeCell ref="AI45:AI46"/>
    <mergeCell ref="AI52:AI53"/>
    <mergeCell ref="D62:E62"/>
    <mergeCell ref="AA2:AB2"/>
    <mergeCell ref="K5:N5"/>
    <mergeCell ref="K1:L1"/>
    <mergeCell ref="W3:Z3"/>
    <mergeCell ref="K3:L3"/>
    <mergeCell ref="K4:L4"/>
    <mergeCell ref="S3:V3"/>
    <mergeCell ref="O3:R3"/>
    <mergeCell ref="U1:V1"/>
    <mergeCell ref="U2:V2"/>
    <mergeCell ref="W4:X4"/>
    <mergeCell ref="Q4:R4"/>
    <mergeCell ref="S4:T4"/>
    <mergeCell ref="O4:P4"/>
    <mergeCell ref="Y4:Z4"/>
  </mergeCells>
  <conditionalFormatting sqref="B6:AH61">
    <cfRule type="expression" dxfId="16" priority="1">
      <formula>AND($C6/7=INT($C6/7))</formula>
    </cfRule>
  </conditionalFormatting>
  <conditionalFormatting sqref="L6:M61">
    <cfRule type="expression" dxfId="15" priority="3">
      <formula>AND($M6&gt;$N6)</formula>
    </cfRule>
  </conditionalFormatting>
  <conditionalFormatting sqref="AG6:AG61">
    <cfRule type="expression" dxfId="14" priority="4">
      <formula>AND($AG6&lt;$AH6*0.95,$AG6&gt;0)</formula>
    </cfRule>
  </conditionalFormatting>
  <dataValidations count="2">
    <dataValidation allowBlank="1" showInputMessage="1" showErrorMessage="1" prompt="Digite PESO (Kg) aves vendidas (sin los huacales)" sqref="G6:G61" xr:uid="{00000000-0002-0000-0200-000000000000}"/>
    <dataValidation allowBlank="1" showInputMessage="1" showErrorMessage="1" prompt="Digite el CONSUMO de Alimento Diario" sqref="P6:P61 T6:T61 X6:X61" xr:uid="{00000000-0002-0000-0200-000001000000}"/>
  </dataValidations>
  <printOptions horizontalCentered="1"/>
  <pageMargins left="0.47244094488188981" right="0.51181102362204722" top="0.35433070866141736" bottom="0.35433070866141736" header="0.23622047244094491" footer="0.31496062992125984"/>
  <pageSetup scale="53" fitToWidth="2" orientation="landscape" horizontalDpi="300" verticalDpi="300" r:id="rId1"/>
  <colBreaks count="1" manualBreakCount="1">
    <brk id="39" max="6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BO63"/>
  <sheetViews>
    <sheetView showGridLines="0" showRowColHeaders="0" showZeros="0" zoomScaleNormal="100" zoomScalePageLayoutView="140" workbookViewId="0">
      <pane xSplit="3" ySplit="5" topLeftCell="D6" activePane="bottomRight" state="frozen"/>
      <selection activeCell="N6" sqref="N6"/>
      <selection pane="topRight" activeCell="N6" sqref="N6"/>
      <selection pane="bottomLeft" activeCell="N6" sqref="N6"/>
      <selection pane="bottomRight" activeCell="M1" sqref="M1:N1"/>
    </sheetView>
  </sheetViews>
  <sheetFormatPr baseColWidth="10" defaultColWidth="11" defaultRowHeight="15" x14ac:dyDescent="0.2"/>
  <cols>
    <col min="1" max="1" width="7" style="1" customWidth="1"/>
    <col min="2" max="2" width="15" style="1" customWidth="1"/>
    <col min="3" max="3" width="8" style="1" customWidth="1"/>
    <col min="4" max="4" width="9.6640625" style="1" customWidth="1"/>
    <col min="5" max="5" width="8.33203125" style="1" customWidth="1"/>
    <col min="6" max="6" width="10" style="1" customWidth="1"/>
    <col min="7" max="7" width="10.83203125" style="1" customWidth="1"/>
    <col min="8" max="8" width="12" style="1" customWidth="1"/>
    <col min="9" max="9" width="10.83203125" style="1" customWidth="1"/>
    <col min="10" max="10" width="11.1640625" style="1" customWidth="1"/>
    <col min="11" max="11" width="18.33203125" style="1" customWidth="1"/>
    <col min="12" max="12" width="7.33203125" style="1" customWidth="1"/>
    <col min="13" max="13" width="8.83203125" style="1" customWidth="1"/>
    <col min="14" max="14" width="9" style="1" customWidth="1"/>
    <col min="15" max="15" width="10.33203125" style="1" customWidth="1"/>
    <col min="16" max="16" width="11.33203125" style="1" customWidth="1"/>
    <col min="17" max="17" width="10.1640625" style="1" customWidth="1"/>
    <col min="18" max="18" width="11.33203125" style="1" customWidth="1"/>
    <col min="19" max="19" width="10.33203125" style="1" customWidth="1"/>
    <col min="20" max="20" width="11.33203125" style="1" customWidth="1"/>
    <col min="21" max="21" width="10.1640625" style="1" customWidth="1"/>
    <col min="22" max="22" width="13" style="1" customWidth="1"/>
    <col min="23" max="23" width="10.33203125" style="1" customWidth="1"/>
    <col min="24" max="24" width="11.33203125" style="1" customWidth="1"/>
    <col min="25" max="25" width="10.1640625" style="1" customWidth="1"/>
    <col min="26" max="26" width="10.6640625" style="1" customWidth="1"/>
    <col min="27" max="27" width="13.83203125" style="1" customWidth="1"/>
    <col min="28" max="28" width="14.6640625" style="1" customWidth="1"/>
    <col min="29" max="29" width="14" style="1" customWidth="1"/>
    <col min="30" max="31" width="11" style="1" customWidth="1"/>
    <col min="32" max="32" width="10.1640625" style="1" customWidth="1"/>
    <col min="33" max="33" width="11.33203125" style="1" customWidth="1"/>
    <col min="34" max="34" width="11.6640625" style="1" customWidth="1"/>
    <col min="35" max="35" width="12.1640625" style="1" customWidth="1"/>
    <col min="36" max="36" width="15.83203125" style="1" customWidth="1"/>
    <col min="37" max="37" width="11" style="1" customWidth="1"/>
    <col min="38" max="38" width="10.1640625" style="1" customWidth="1"/>
    <col min="39" max="39" width="12" style="1" customWidth="1"/>
    <col min="40" max="41" width="7.1640625" style="1" customWidth="1"/>
    <col min="42" max="42" width="14.1640625" style="1" customWidth="1"/>
    <col min="43" max="43" width="14.33203125" style="1" customWidth="1"/>
    <col min="44" max="44" width="12.83203125" style="1" customWidth="1"/>
    <col min="45" max="45" width="5.6640625" style="1" customWidth="1"/>
    <col min="46" max="46" width="6.33203125" style="1" customWidth="1"/>
    <col min="47" max="47" width="7.6640625" style="1" customWidth="1"/>
    <col min="48" max="48" width="8.83203125" style="1" customWidth="1"/>
    <col min="49" max="49" width="9.1640625" style="1" customWidth="1"/>
    <col min="50" max="50" width="12.33203125" style="1" customWidth="1"/>
    <col min="51" max="52" width="7.1640625" style="1" customWidth="1"/>
    <col min="53" max="16384" width="11" style="1"/>
  </cols>
  <sheetData>
    <row r="1" spans="1:67" ht="15.75" customHeight="1" x14ac:dyDescent="0.25">
      <c r="A1" s="931"/>
      <c r="B1" s="931"/>
      <c r="C1" s="931"/>
      <c r="D1" s="937" t="str">
        <f>'G1'!D1</f>
        <v xml:space="preserve">Empresa / Cliente : </v>
      </c>
      <c r="E1" s="938"/>
      <c r="F1" s="939"/>
      <c r="G1" s="939"/>
      <c r="H1" s="943">
        <f>'G1'!H1</f>
        <v>0</v>
      </c>
      <c r="I1" s="944"/>
      <c r="J1" s="945"/>
      <c r="K1" s="864" t="str">
        <f>'G1'!K1</f>
        <v xml:space="preserve">Machos Recibidos : </v>
      </c>
      <c r="L1" s="865"/>
      <c r="M1" s="902"/>
      <c r="N1" s="903"/>
      <c r="O1" s="916" t="str">
        <f>'G1'!O1</f>
        <v>F. Recepción :</v>
      </c>
      <c r="P1" s="917"/>
      <c r="Q1" s="935">
        <f>'G1'!Q1</f>
        <v>0</v>
      </c>
      <c r="R1" s="936"/>
      <c r="S1" s="916" t="str">
        <f>'G1'!S1</f>
        <v>Peso nac :</v>
      </c>
      <c r="T1" s="917"/>
      <c r="U1" s="876"/>
      <c r="V1" s="877"/>
      <c r="W1" s="916" t="str">
        <f>'G1'!W1</f>
        <v xml:space="preserve">Altura s. n. mar : </v>
      </c>
      <c r="X1" s="917"/>
      <c r="Y1" s="922" t="str">
        <f>IF('G1'!Y1="","",'G1'!Y1)</f>
        <v/>
      </c>
      <c r="Z1" s="923"/>
      <c r="AA1" s="926" t="s">
        <v>167</v>
      </c>
      <c r="AB1" s="927"/>
      <c r="AC1" s="440"/>
      <c r="AD1" s="908" t="str">
        <f>'G1'!AD1</f>
        <v xml:space="preserve">Tipo Galpón : </v>
      </c>
      <c r="AE1" s="909"/>
      <c r="AF1" s="910"/>
      <c r="AG1" s="896"/>
      <c r="AH1" s="896"/>
      <c r="AI1" s="897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</row>
    <row r="2" spans="1:67" s="2" customFormat="1" ht="15.75" customHeight="1" thickBot="1" x14ac:dyDescent="0.3">
      <c r="A2" s="931"/>
      <c r="B2" s="931"/>
      <c r="C2" s="931"/>
      <c r="D2" s="940" t="str">
        <f>'G1'!D2</f>
        <v xml:space="preserve">Nombre de la Granja : </v>
      </c>
      <c r="E2" s="941"/>
      <c r="F2" s="942"/>
      <c r="G2" s="942"/>
      <c r="H2" s="946">
        <f>'G1'!H2</f>
        <v>0</v>
      </c>
      <c r="I2" s="947"/>
      <c r="J2" s="948"/>
      <c r="K2" s="949" t="str">
        <f>'G1'!K2</f>
        <v xml:space="preserve">Hembras Recibidas : </v>
      </c>
      <c r="L2" s="950"/>
      <c r="M2" s="904"/>
      <c r="N2" s="905"/>
      <c r="O2" s="920" t="str">
        <f>'G1'!O2</f>
        <v xml:space="preserve">Guía Cons/Peso : </v>
      </c>
      <c r="P2" s="921"/>
      <c r="Q2" s="878">
        <f>'G1'!Q2</f>
        <v>0</v>
      </c>
      <c r="R2" s="879"/>
      <c r="S2" s="920" t="str">
        <f>'G1'!S2</f>
        <v xml:space="preserve">Sexo : </v>
      </c>
      <c r="T2" s="921"/>
      <c r="U2" s="878" t="str">
        <f>IF(M3&gt;0,IF(M2=0,"MACHO",IF(M1=0,"HEMBRA","MIXTO")),"")</f>
        <v/>
      </c>
      <c r="V2" s="879"/>
      <c r="W2" s="920" t="str">
        <f>'G1'!W2</f>
        <v>Clima :</v>
      </c>
      <c r="X2" s="921"/>
      <c r="Y2" s="918" t="str">
        <f>IF('G1'!Y2="","",'G1'!Y2)</f>
        <v>Cálido</v>
      </c>
      <c r="Z2" s="919"/>
      <c r="AA2" s="859" t="s">
        <v>165</v>
      </c>
      <c r="AB2" s="860"/>
      <c r="AC2" s="441">
        <f>IF(AC1&gt;0,M3/AC1,0)</f>
        <v>0</v>
      </c>
      <c r="AD2" s="911" t="str">
        <f>'G1'!AD2</f>
        <v xml:space="preserve">Tipo Comederos : </v>
      </c>
      <c r="AE2" s="912"/>
      <c r="AF2" s="913"/>
      <c r="AG2" s="898"/>
      <c r="AH2" s="898"/>
      <c r="AI2" s="899"/>
      <c r="AN2" s="353"/>
      <c r="AO2" s="353"/>
      <c r="AP2" s="353"/>
      <c r="AQ2" s="353"/>
      <c r="AR2" s="353"/>
      <c r="AS2" s="353"/>
      <c r="AT2" s="353"/>
      <c r="AU2" s="353"/>
      <c r="AV2" s="353"/>
      <c r="AW2" s="353"/>
      <c r="AX2" s="353"/>
      <c r="AY2" s="353"/>
      <c r="AZ2" s="353"/>
      <c r="BA2" s="353"/>
      <c r="BB2" s="353"/>
      <c r="BC2" s="353"/>
      <c r="BD2" s="353"/>
      <c r="BE2" s="353"/>
      <c r="BF2" s="353"/>
    </row>
    <row r="3" spans="1:67" s="2" customFormat="1" ht="15.75" customHeight="1" thickBot="1" x14ac:dyDescent="0.3">
      <c r="A3" s="931"/>
      <c r="B3" s="931"/>
      <c r="C3" s="931"/>
      <c r="D3" s="940" t="str">
        <f>'G1'!D3</f>
        <v xml:space="preserve">Localización (Municipio/Vereda) : </v>
      </c>
      <c r="E3" s="941"/>
      <c r="F3" s="942"/>
      <c r="G3" s="942"/>
      <c r="H3" s="946">
        <f>'G1'!H3</f>
        <v>0</v>
      </c>
      <c r="I3" s="947"/>
      <c r="J3" s="948"/>
      <c r="K3" s="868" t="str">
        <f>'G1'!K3</f>
        <v xml:space="preserve">Aves Recibidas : </v>
      </c>
      <c r="L3" s="869"/>
      <c r="M3" s="906">
        <f>SUM(M1:N2)</f>
        <v>0</v>
      </c>
      <c r="N3" s="907"/>
      <c r="O3" s="875" t="str">
        <f>'G1'!O3</f>
        <v>Preiniciador Pollito</v>
      </c>
      <c r="P3" s="866"/>
      <c r="Q3" s="866"/>
      <c r="R3" s="866"/>
      <c r="S3" s="872" t="str">
        <f>'G1'!S3</f>
        <v>Iniciador Pollito</v>
      </c>
      <c r="T3" s="873"/>
      <c r="U3" s="873"/>
      <c r="V3" s="874"/>
      <c r="W3" s="866" t="str">
        <f>'G1'!W3</f>
        <v>Pollo Engorde</v>
      </c>
      <c r="X3" s="866"/>
      <c r="Y3" s="866"/>
      <c r="Z3" s="867"/>
      <c r="AA3" s="924" t="str">
        <f>'G1'!AA3</f>
        <v>Temperatura Ext :</v>
      </c>
      <c r="AB3" s="925"/>
      <c r="AC3" s="442"/>
      <c r="AD3" s="914" t="str">
        <f>'G1'!AD3</f>
        <v xml:space="preserve">Tipo Bebederos : </v>
      </c>
      <c r="AE3" s="915"/>
      <c r="AF3" s="915"/>
      <c r="AG3" s="900"/>
      <c r="AH3" s="900"/>
      <c r="AI3" s="901"/>
      <c r="AN3" s="353"/>
      <c r="AO3" s="353"/>
      <c r="AP3" s="353"/>
      <c r="AQ3" s="353"/>
      <c r="AR3" s="353"/>
      <c r="AS3" s="353"/>
      <c r="AT3" s="353"/>
      <c r="AU3" s="353"/>
      <c r="AV3" s="353"/>
      <c r="AW3" s="353"/>
      <c r="AX3" s="353"/>
      <c r="AY3" s="353"/>
      <c r="AZ3" s="353"/>
      <c r="BA3" s="353"/>
      <c r="BB3" s="353"/>
      <c r="BC3" s="353"/>
      <c r="BD3" s="353"/>
      <c r="BE3" s="353"/>
      <c r="BF3" s="353"/>
      <c r="BN3" s="1"/>
      <c r="BO3" s="1"/>
    </row>
    <row r="4" spans="1:67" s="2" customFormat="1" ht="15.75" customHeight="1" thickBot="1" x14ac:dyDescent="0.3">
      <c r="A4" s="932"/>
      <c r="B4" s="932"/>
      <c r="C4" s="932"/>
      <c r="D4" s="447" t="str">
        <f>'G1'!$D$4</f>
        <v xml:space="preserve">Raza : </v>
      </c>
      <c r="E4" s="953">
        <f>'G1'!$E$4</f>
        <v>0</v>
      </c>
      <c r="F4" s="954"/>
      <c r="G4" s="417" t="str">
        <f>'G1'!G4</f>
        <v># Lote :</v>
      </c>
      <c r="H4" s="360" t="str">
        <f>IF('G1'!H4="","",'G1'!H4)</f>
        <v/>
      </c>
      <c r="I4" s="331" t="str">
        <f>'G1'!I4</f>
        <v>Id. Galpón :</v>
      </c>
      <c r="J4" s="270">
        <v>3</v>
      </c>
      <c r="K4" s="870" t="str">
        <f>'G1'!K4</f>
        <v xml:space="preserve">% Machos : </v>
      </c>
      <c r="L4" s="871"/>
      <c r="M4" s="951">
        <f>IF(M3&gt;0,M1/M3*100,0)</f>
        <v>0</v>
      </c>
      <c r="N4" s="952"/>
      <c r="O4" s="886" t="str">
        <f>'G1'!O4</f>
        <v xml:space="preserve">$ / Kilogramo: </v>
      </c>
      <c r="P4" s="881"/>
      <c r="Q4" s="882">
        <f>'G1'!Q4</f>
        <v>0</v>
      </c>
      <c r="R4" s="883"/>
      <c r="S4" s="884" t="str">
        <f>'G1'!S4</f>
        <v xml:space="preserve">$ / Kilogramo: </v>
      </c>
      <c r="T4" s="885"/>
      <c r="U4" s="933">
        <f>'G1'!U4</f>
        <v>0</v>
      </c>
      <c r="V4" s="934"/>
      <c r="W4" s="880" t="str">
        <f>'G1'!W4</f>
        <v xml:space="preserve">$ / Kilogramo: </v>
      </c>
      <c r="X4" s="881"/>
      <c r="Y4" s="883">
        <f>'G1'!Y4</f>
        <v>0</v>
      </c>
      <c r="Z4" s="887"/>
      <c r="AA4" s="888" t="str">
        <f>'G1'!AA4</f>
        <v>Consolidado Alimento / Consumo</v>
      </c>
      <c r="AB4" s="889"/>
      <c r="AC4" s="889"/>
      <c r="AD4" s="889"/>
      <c r="AE4" s="889"/>
      <c r="AF4" s="889"/>
      <c r="AG4" s="889"/>
      <c r="AH4" s="890"/>
      <c r="AI4" s="893" t="str">
        <f>'G1'!AI4</f>
        <v>Indicadores Zootécnicos</v>
      </c>
      <c r="AJ4" s="894"/>
      <c r="AK4" s="894"/>
      <c r="AL4" s="894"/>
      <c r="AM4" s="895"/>
      <c r="AN4" s="353"/>
      <c r="AO4" s="353"/>
      <c r="AP4" s="353"/>
      <c r="AQ4" s="353"/>
      <c r="AR4" s="353"/>
      <c r="AS4" s="353"/>
      <c r="AT4" s="353"/>
      <c r="AU4" s="353"/>
      <c r="AV4" s="353"/>
      <c r="AW4" s="353"/>
      <c r="AX4" s="353"/>
      <c r="AY4" s="353"/>
      <c r="AZ4" s="353"/>
      <c r="BA4" s="353"/>
      <c r="BB4" s="353"/>
      <c r="BC4" s="353"/>
      <c r="BD4" s="353"/>
      <c r="BE4" s="353"/>
      <c r="BF4" s="353"/>
    </row>
    <row r="5" spans="1:67" ht="42" customHeight="1" thickBot="1" x14ac:dyDescent="0.25">
      <c r="A5" s="73" t="str">
        <f>'G1'!A5</f>
        <v xml:space="preserve"> </v>
      </c>
      <c r="B5" s="74" t="str">
        <f>'G1'!B5</f>
        <v>Fecha</v>
      </c>
      <c r="C5" s="373" t="str">
        <f>'G1'!C5</f>
        <v>Edad día</v>
      </c>
      <c r="D5" s="377" t="str">
        <f>'G1'!D5</f>
        <v>Mort</v>
      </c>
      <c r="E5" s="378" t="str">
        <f>'G1'!E5</f>
        <v>Sel</v>
      </c>
      <c r="F5" s="379" t="str">
        <f>'G1'!F5</f>
        <v>Trasl-Venta</v>
      </c>
      <c r="G5" s="414" t="str">
        <f>'G1'!G5</f>
        <v>Peso Total Neto</v>
      </c>
      <c r="H5" s="415" t="str">
        <f>'G1'!H5</f>
        <v>Peso (Gr) Prom.</v>
      </c>
      <c r="I5" s="413" t="str">
        <f>'G1'!I5</f>
        <v>Peso (Gr) Guía</v>
      </c>
      <c r="J5" s="75" t="str">
        <f>'G1'!J5</f>
        <v>Saldo Aves</v>
      </c>
      <c r="K5" s="861" t="str">
        <f>'G1'!K5</f>
        <v>Seguimiento a Mortalidad y Selección</v>
      </c>
      <c r="L5" s="862"/>
      <c r="M5" s="862"/>
      <c r="N5" s="863"/>
      <c r="O5" s="76" t="str">
        <f>'G1'!O5</f>
        <v>Ingreso Bulto X 40 K</v>
      </c>
      <c r="P5" s="445" t="str">
        <f>'G1'!P5</f>
        <v>Kilos</v>
      </c>
      <c r="Q5" s="77" t="str">
        <f>'G1'!Q5</f>
        <v>Traslado Bulto X 40 K</v>
      </c>
      <c r="R5" s="313" t="str">
        <f>'G1'!R5</f>
        <v>Saldo Bulto X 40 K</v>
      </c>
      <c r="S5" s="317" t="str">
        <f>'G1'!S5</f>
        <v>Ingreso Bulto X 40 K</v>
      </c>
      <c r="T5" s="445" t="str">
        <f>'G1'!T5</f>
        <v>Bulto X 40 K</v>
      </c>
      <c r="U5" s="77" t="str">
        <f>'G1'!U5</f>
        <v>Traslado Bulto X 40 K</v>
      </c>
      <c r="V5" s="78" t="str">
        <f>'G1'!V5</f>
        <v>Saldo Bulto X 40 K</v>
      </c>
      <c r="W5" s="85" t="str">
        <f>'G1'!W5</f>
        <v>Ingreso Bulto X 40 K</v>
      </c>
      <c r="X5" s="445" t="str">
        <f>'G1'!X5</f>
        <v>Bulto X 40 K</v>
      </c>
      <c r="Y5" s="77" t="str">
        <f>'G1'!Y5</f>
        <v>Traslado Bulto X 40 K</v>
      </c>
      <c r="Z5" s="78" t="str">
        <f>'G1'!Z5</f>
        <v>Saldo Bulto X 40 K</v>
      </c>
      <c r="AA5" s="361" t="str">
        <f>'G1'!AA5</f>
        <v>T. Ingreso Bulto X 40 K</v>
      </c>
      <c r="AB5" s="362" t="str">
        <f>'G1'!AB5</f>
        <v>T. Traslados Bulto X 40 K</v>
      </c>
      <c r="AC5" s="363" t="str">
        <f>'G1'!AC5</f>
        <v>Total Saldo Bulto X 40 K</v>
      </c>
      <c r="AD5" s="500" t="str">
        <f>'G1'!AD5</f>
        <v>Consumo día Bulto X 40 K</v>
      </c>
      <c r="AE5" s="501" t="str">
        <f>'G1'!AE5</f>
        <v>BULTOS Ac.</v>
      </c>
      <c r="AF5" s="348" t="str">
        <f>'G1'!AF5</f>
        <v>BULTOS Guia</v>
      </c>
      <c r="AG5" s="79" t="str">
        <f>'G1'!AG5</f>
        <v>Cons Ave Dia (Gr.)</v>
      </c>
      <c r="AH5" s="80" t="str">
        <f>'G1'!AH5</f>
        <v>Cons Ave Dia Guia</v>
      </c>
      <c r="AI5" s="81" t="str">
        <f>'G1'!AI5</f>
        <v>Consumo Prom Dia</v>
      </c>
      <c r="AJ5" s="333" t="str">
        <f>'G1'!AJ5</f>
        <v>Parám. Z</v>
      </c>
      <c r="AK5" s="82" t="str">
        <f>'G1'!AK5</f>
        <v>Real</v>
      </c>
      <c r="AL5" s="83" t="str">
        <f>'G1'!AL5</f>
        <v>Guia</v>
      </c>
      <c r="AM5" s="84" t="str">
        <f>'G1'!AM5</f>
        <v>% Cumpl</v>
      </c>
      <c r="AN5" s="50"/>
      <c r="AO5" s="50"/>
      <c r="AP5" s="50"/>
      <c r="AQ5" s="50"/>
      <c r="AR5" s="50"/>
      <c r="AS5" s="72" t="s">
        <v>120</v>
      </c>
      <c r="AT5" s="72" t="s">
        <v>119</v>
      </c>
      <c r="AU5" s="72" t="s">
        <v>118</v>
      </c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</row>
    <row r="6" spans="1:67" ht="16.5" customHeight="1" thickBot="1" x14ac:dyDescent="0.3">
      <c r="A6" s="928" t="s">
        <v>10</v>
      </c>
      <c r="B6" s="52" t="str">
        <f>IF(Q1&gt;0,Q1,"")</f>
        <v/>
      </c>
      <c r="C6" s="374">
        <v>1</v>
      </c>
      <c r="D6" s="392"/>
      <c r="E6" s="393"/>
      <c r="F6" s="394"/>
      <c r="G6" s="392"/>
      <c r="H6" s="403">
        <f t="shared" ref="H6:H61" si="0">IF(F6&gt;0,G6/F6*1000,0)</f>
        <v>0</v>
      </c>
      <c r="I6" s="418">
        <f>IF($Q$1&gt;0,TGsh!E4*$M$4%+TGsh!F4*(1-$M$4%),0)</f>
        <v>0</v>
      </c>
      <c r="J6" s="55">
        <f>M3-SUM(D6:E6)-F6</f>
        <v>0</v>
      </c>
      <c r="K6" s="294" t="str">
        <f>'G1'!K6</f>
        <v>Item</v>
      </c>
      <c r="L6" s="295" t="str">
        <f>'G1'!L6</f>
        <v>#</v>
      </c>
      <c r="M6" s="295" t="str">
        <f>'G1'!M6</f>
        <v>Real %</v>
      </c>
      <c r="N6" s="296" t="str">
        <f>'G1'!N6</f>
        <v>Guia %</v>
      </c>
      <c r="O6" s="305"/>
      <c r="P6" s="305"/>
      <c r="Q6" s="305"/>
      <c r="R6" s="34">
        <f>O6-IF(P$5="Bulto X 40 K",P6,P6/40)-Q6</f>
        <v>0</v>
      </c>
      <c r="S6" s="318"/>
      <c r="T6" s="305"/>
      <c r="U6" s="319"/>
      <c r="V6" s="34">
        <f>S6-IF(T$5="Bulto X 40 K",T6,T6/40)-U6</f>
        <v>0</v>
      </c>
      <c r="W6" s="305"/>
      <c r="X6" s="31"/>
      <c r="Y6" s="31"/>
      <c r="Z6" s="34">
        <f>W6-IF(X$5="Bulto X 40 K",X6,X6/40)-Y6</f>
        <v>0</v>
      </c>
      <c r="AA6" s="364">
        <f>O6+S6+W6</f>
        <v>0</v>
      </c>
      <c r="AB6" s="365">
        <f t="shared" ref="AB6:AB61" si="1">Q6+U6+Y6</f>
        <v>0</v>
      </c>
      <c r="AC6" s="366">
        <f>AA6-AD6-AB6</f>
        <v>0</v>
      </c>
      <c r="AD6" s="325">
        <f t="shared" ref="AD6:AD61" si="2">IF(P$5="Bulto X 40 K",P6,P6/40)+IF(T$5="Bulto X 40 K",T6,T6/40)+IF(X$5="Bulto X 40 K",X6,X6/40)</f>
        <v>0</v>
      </c>
      <c r="AE6" s="326">
        <f>AD6</f>
        <v>0</v>
      </c>
      <c r="AF6" s="349">
        <f t="shared" ref="AF6:AF37" si="3">MROUND(AH6*SUM(D6:F6,J6)/40000,0.1)</f>
        <v>0</v>
      </c>
      <c r="AG6" s="28">
        <f t="shared" ref="AG6:AG61" si="4">IF((J6+F6)&gt;0,AD6*40000/(J6+F6),0)</f>
        <v>0</v>
      </c>
      <c r="AH6" s="46">
        <f>IF($M$3&gt;0,TGsh!C4*$M$4%+TGsh!D4*(1-$M$4%),0)</f>
        <v>0</v>
      </c>
      <c r="AI6" s="334" t="s">
        <v>45</v>
      </c>
      <c r="AJ6" s="335" t="s">
        <v>6</v>
      </c>
      <c r="AK6" s="3">
        <f>IF((J12+SUM(F6:F12))&gt;0,SUM(AD6:AD12)*40000/(J12+SUM(F6:F12)),0)</f>
        <v>0</v>
      </c>
      <c r="AL6" s="41">
        <f>SUMIF($AD6:$AD12,"&gt;0",AH6:AH12)</f>
        <v>0</v>
      </c>
      <c r="AM6" s="336" t="str">
        <f>IF(AK6&gt;0,(AK6-AL6)/AL6*100,"")</f>
        <v/>
      </c>
      <c r="AN6" s="50"/>
      <c r="AO6" s="19" t="s">
        <v>9</v>
      </c>
      <c r="AP6" s="20" t="s">
        <v>24</v>
      </c>
      <c r="AQ6" s="20" t="s">
        <v>25</v>
      </c>
      <c r="AR6" s="21" t="s">
        <v>14</v>
      </c>
      <c r="AS6" s="72">
        <f t="shared" ref="AS6:AS61" si="5">IF(($P6+$T6+$X6)&gt;0,P6/($P6+$T6+$X6),0)</f>
        <v>0</v>
      </c>
      <c r="AT6" s="72">
        <f t="shared" ref="AT6:AT61" si="6">IF(($P6+$T6+$X6)&gt;0,T6/($P6+$T6+$X6),0)</f>
        <v>0</v>
      </c>
      <c r="AU6" s="72">
        <f t="shared" ref="AU6:AU61" si="7">IF(($P6+$T6+$X6)&gt;0,X6/($P6+$T6+$X6),0)</f>
        <v>0</v>
      </c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</row>
    <row r="7" spans="1:67" ht="16.5" thickBot="1" x14ac:dyDescent="0.3">
      <c r="A7" s="929"/>
      <c r="B7" s="53" t="str">
        <f t="shared" ref="B7:B61" si="8">IF(B6="","",B6+1)</f>
        <v/>
      </c>
      <c r="C7" s="375">
        <f t="shared" ref="C7:C61" si="9">C6+1</f>
        <v>2</v>
      </c>
      <c r="D7" s="395"/>
      <c r="E7" s="396"/>
      <c r="F7" s="397"/>
      <c r="G7" s="395"/>
      <c r="H7" s="404">
        <f t="shared" si="0"/>
        <v>0</v>
      </c>
      <c r="I7" s="420">
        <f>IF($Q$1&gt;0,TGsh!E5*$M$4%+TGsh!F5*(1-$M$4%),0)</f>
        <v>0</v>
      </c>
      <c r="J7" s="411">
        <f t="shared" ref="J7:J61" si="10">J6-SUM(D7:E7)-F7</f>
        <v>0</v>
      </c>
      <c r="K7" s="275" t="str">
        <f>'G1'!K7</f>
        <v xml:space="preserve">Mort Sem </v>
      </c>
      <c r="L7" s="289">
        <f>SUM(D6:D12)</f>
        <v>0</v>
      </c>
      <c r="M7" s="429">
        <f>IF(M3&gt;0,L7/M3,0)</f>
        <v>0</v>
      </c>
      <c r="N7" s="430">
        <f ca="1">SUM(TGsh!G4:G10)</f>
        <v>0</v>
      </c>
      <c r="O7" s="26"/>
      <c r="P7" s="306"/>
      <c r="Q7" s="306"/>
      <c r="R7" s="35">
        <f t="shared" ref="R7:R61" si="11">R6+O7-IF(P$5="Bulto X 40 K",P7,P7/40)-Q7</f>
        <v>0</v>
      </c>
      <c r="S7" s="320"/>
      <c r="T7" s="306"/>
      <c r="U7" s="321"/>
      <c r="V7" s="35">
        <f>V6+S7-IF(T$5="Bulto X 40 K",T7,T7/40)-U7</f>
        <v>0</v>
      </c>
      <c r="W7" s="306"/>
      <c r="X7" s="32"/>
      <c r="Y7" s="32"/>
      <c r="Z7" s="35">
        <f>Z6+W7-IF(X$5="Bulto X 40 K",X7,X7/40)-Y7</f>
        <v>0</v>
      </c>
      <c r="AA7" s="367">
        <f t="shared" ref="AA7:AA61" si="12">O7+S7+W7</f>
        <v>0</v>
      </c>
      <c r="AB7" s="368">
        <f t="shared" si="1"/>
        <v>0</v>
      </c>
      <c r="AC7" s="369">
        <f t="shared" ref="AC7:AC61" si="13">AC6+AA7-AD7-AB7</f>
        <v>0</v>
      </c>
      <c r="AD7" s="327">
        <f>IF(P$5="Bulto X 40 K",P7,P7/40)+IF(T$5="Bulto X 40 K",T7,T7/40)+IF(X$5="Bulto X 40 K",X7,X7/40)</f>
        <v>0</v>
      </c>
      <c r="AE7" s="328">
        <f t="shared" ref="AE7:AE61" si="14">AE6+AD7</f>
        <v>0</v>
      </c>
      <c r="AF7" s="350">
        <f t="shared" si="3"/>
        <v>0</v>
      </c>
      <c r="AG7" s="29">
        <f t="shared" si="4"/>
        <v>0</v>
      </c>
      <c r="AH7" s="47">
        <f>IF($M$3&gt;0,TGsh!C5*$M$4%+TGsh!D5*(1-$M$4%),0)</f>
        <v>0</v>
      </c>
      <c r="AI7" s="337">
        <f>IF(SUM(AD6:AD12)&gt;0,AVERAGEIF(AD6:AD12,"&gt;0",AG6:AG12),0)</f>
        <v>0</v>
      </c>
      <c r="AJ7" s="338" t="s">
        <v>4</v>
      </c>
      <c r="AK7" s="339">
        <f>IF((J12+SUM(F$6:F12))&gt;0,SUM(AD$6:AD12)*40000/(J12+SUM(F$6:F12)),0)</f>
        <v>0</v>
      </c>
      <c r="AL7" s="340">
        <f>AL6</f>
        <v>0</v>
      </c>
      <c r="AM7" s="341" t="str">
        <f>IF(AK6&gt;0,(AK7-AL7)/AL7*100,"")</f>
        <v/>
      </c>
      <c r="AN7" s="50"/>
      <c r="AO7" s="14">
        <v>1</v>
      </c>
      <c r="AP7" s="3">
        <f>AK6</f>
        <v>0</v>
      </c>
      <c r="AQ7" s="3">
        <f t="shared" ref="AQ7:AR7" si="15">AL6</f>
        <v>0</v>
      </c>
      <c r="AR7" s="15" t="str">
        <f t="shared" si="15"/>
        <v/>
      </c>
      <c r="AS7" s="72">
        <f t="shared" si="5"/>
        <v>0</v>
      </c>
      <c r="AT7" s="72">
        <f t="shared" si="6"/>
        <v>0</v>
      </c>
      <c r="AU7" s="72">
        <f t="shared" si="7"/>
        <v>0</v>
      </c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8" spans="1:67" ht="16.5" thickBot="1" x14ac:dyDescent="0.3">
      <c r="A8" s="929"/>
      <c r="B8" s="53" t="str">
        <f t="shared" si="8"/>
        <v/>
      </c>
      <c r="C8" s="375">
        <f t="shared" si="9"/>
        <v>3</v>
      </c>
      <c r="D8" s="395"/>
      <c r="E8" s="396"/>
      <c r="F8" s="397"/>
      <c r="G8" s="395"/>
      <c r="H8" s="404">
        <f t="shared" si="0"/>
        <v>0</v>
      </c>
      <c r="I8" s="420">
        <f>IF($Q$1&gt;0,TGsh!E6*$M$4%+TGsh!F6*(1-$M$4%),0)</f>
        <v>0</v>
      </c>
      <c r="J8" s="411">
        <f t="shared" si="10"/>
        <v>0</v>
      </c>
      <c r="K8" s="276" t="str">
        <f>'G1'!K8</f>
        <v xml:space="preserve">Sel Sem </v>
      </c>
      <c r="L8" s="290">
        <f>SUM(E6:E12)</f>
        <v>0</v>
      </c>
      <c r="M8" s="431">
        <f>IF(M3&gt;0,L8/M3,0)</f>
        <v>0</v>
      </c>
      <c r="N8" s="432">
        <v>0</v>
      </c>
      <c r="O8" s="26"/>
      <c r="P8" s="306"/>
      <c r="Q8" s="306"/>
      <c r="R8" s="315">
        <f t="shared" si="11"/>
        <v>0</v>
      </c>
      <c r="S8" s="320"/>
      <c r="T8" s="306"/>
      <c r="U8" s="321"/>
      <c r="V8" s="35">
        <f t="shared" ref="V8:V61" si="16">V7+S8-IF(T$5="Bulto X 40 K",T8,T8/40)-U8</f>
        <v>0</v>
      </c>
      <c r="W8" s="306"/>
      <c r="X8" s="32"/>
      <c r="Y8" s="32"/>
      <c r="Z8" s="35">
        <f t="shared" ref="Z8:Z61" si="17">Z7+W8-IF(X$5="Bulto X 40 K",X8,X8/40)-Y8</f>
        <v>0</v>
      </c>
      <c r="AA8" s="367">
        <f t="shared" si="12"/>
        <v>0</v>
      </c>
      <c r="AB8" s="368">
        <f t="shared" si="1"/>
        <v>0</v>
      </c>
      <c r="AC8" s="369">
        <f t="shared" si="13"/>
        <v>0</v>
      </c>
      <c r="AD8" s="327">
        <f t="shared" si="2"/>
        <v>0</v>
      </c>
      <c r="AE8" s="328">
        <f t="shared" si="14"/>
        <v>0</v>
      </c>
      <c r="AF8" s="350">
        <f t="shared" si="3"/>
        <v>0</v>
      </c>
      <c r="AG8" s="29">
        <f t="shared" si="4"/>
        <v>0</v>
      </c>
      <c r="AH8" s="47">
        <f>IF($M$3&gt;0,TGsh!C6*$M$4%+TGsh!D6*(1-$M$4%),0)</f>
        <v>0</v>
      </c>
      <c r="AI8" s="40" t="s">
        <v>44</v>
      </c>
      <c r="AJ8" s="4" t="s">
        <v>1</v>
      </c>
      <c r="AK8" s="24"/>
      <c r="AL8" s="42">
        <f>IF($Q$1&gt;0,I12,0)</f>
        <v>0</v>
      </c>
      <c r="AM8" s="9" t="str">
        <f>IF(AK8&gt;0,(AK8-AL8)/AL8*100,"")</f>
        <v/>
      </c>
      <c r="AN8" s="50"/>
      <c r="AO8" s="16">
        <f>AO7+1</f>
        <v>2</v>
      </c>
      <c r="AP8" s="8">
        <f>AK13</f>
        <v>0</v>
      </c>
      <c r="AQ8" s="8">
        <f t="shared" ref="AQ8:AR8" si="18">AL13</f>
        <v>0</v>
      </c>
      <c r="AR8" s="17" t="str">
        <f t="shared" si="18"/>
        <v/>
      </c>
      <c r="AS8" s="72">
        <f t="shared" si="5"/>
        <v>0</v>
      </c>
      <c r="AT8" s="72">
        <f t="shared" si="6"/>
        <v>0</v>
      </c>
      <c r="AU8" s="72">
        <f t="shared" si="7"/>
        <v>0</v>
      </c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</row>
    <row r="9" spans="1:67" ht="15.75" customHeight="1" x14ac:dyDescent="0.25">
      <c r="A9" s="929"/>
      <c r="B9" s="53" t="str">
        <f t="shared" si="8"/>
        <v/>
      </c>
      <c r="C9" s="375">
        <f t="shared" si="9"/>
        <v>4</v>
      </c>
      <c r="D9" s="395"/>
      <c r="E9" s="396"/>
      <c r="F9" s="397"/>
      <c r="G9" s="395"/>
      <c r="H9" s="404">
        <f t="shared" si="0"/>
        <v>0</v>
      </c>
      <c r="I9" s="420">
        <f>IF($Q$1&gt;0,TGsh!E7*$M$4%+TGsh!F7*(1-$M$4%),0)</f>
        <v>0</v>
      </c>
      <c r="J9" s="411">
        <f t="shared" si="10"/>
        <v>0</v>
      </c>
      <c r="K9" s="277" t="str">
        <f>'G1'!K9</f>
        <v xml:space="preserve">Mort + Sel Sem </v>
      </c>
      <c r="L9" s="291">
        <f>SUM(L7:L8)</f>
        <v>0</v>
      </c>
      <c r="M9" s="433">
        <f>IF(M3&gt;0,L9/M3,0)</f>
        <v>0</v>
      </c>
      <c r="N9" s="434">
        <f ca="1">SUM(N7:N8)</f>
        <v>0</v>
      </c>
      <c r="O9" s="26"/>
      <c r="P9" s="306"/>
      <c r="Q9" s="306"/>
      <c r="R9" s="315">
        <f t="shared" si="11"/>
        <v>0</v>
      </c>
      <c r="S9" s="320"/>
      <c r="T9" s="306"/>
      <c r="U9" s="321"/>
      <c r="V9" s="35">
        <f t="shared" si="16"/>
        <v>0</v>
      </c>
      <c r="W9" s="306"/>
      <c r="X9" s="32"/>
      <c r="Y9" s="32"/>
      <c r="Z9" s="35">
        <f t="shared" si="17"/>
        <v>0</v>
      </c>
      <c r="AA9" s="367">
        <f t="shared" si="12"/>
        <v>0</v>
      </c>
      <c r="AB9" s="368">
        <f t="shared" si="1"/>
        <v>0</v>
      </c>
      <c r="AC9" s="369">
        <f t="shared" si="13"/>
        <v>0</v>
      </c>
      <c r="AD9" s="327">
        <f t="shared" si="2"/>
        <v>0</v>
      </c>
      <c r="AE9" s="328">
        <f t="shared" si="14"/>
        <v>0</v>
      </c>
      <c r="AF9" s="350">
        <f t="shared" si="3"/>
        <v>0</v>
      </c>
      <c r="AG9" s="29">
        <f t="shared" si="4"/>
        <v>0</v>
      </c>
      <c r="AH9" s="47">
        <f>IF($M$3&gt;0,TGsh!C7*$M$4%+TGsh!D7*(1-$M$4%),0)</f>
        <v>0</v>
      </c>
      <c r="AI9" s="337">
        <f>IF(SUM(AD6:AD12)&gt;0,AVERAGEIF(AD6:AD12,"&gt;0",AH6:AH12),0)</f>
        <v>0</v>
      </c>
      <c r="AJ9" s="5" t="s">
        <v>2</v>
      </c>
      <c r="AK9" s="6">
        <f>IF(AND(U1&gt;0,AK8&gt;0),(AK8-U1)/7,0)</f>
        <v>0</v>
      </c>
      <c r="AL9" s="43">
        <f>IF(AL8&gt;0,(AL8-40)/7,0)</f>
        <v>0</v>
      </c>
      <c r="AM9" s="10" t="str">
        <f>IF(AK9&gt;0,(AK9-AL9)/AL9*100,"")</f>
        <v/>
      </c>
      <c r="AN9" s="50"/>
      <c r="AO9" s="16">
        <f t="shared" ref="AO9:AO14" si="19">AO8+1</f>
        <v>3</v>
      </c>
      <c r="AP9" s="8">
        <f>AK20</f>
        <v>0</v>
      </c>
      <c r="AQ9" s="8">
        <f t="shared" ref="AQ9:AR9" si="20">AL20</f>
        <v>0</v>
      </c>
      <c r="AR9" s="17" t="str">
        <f t="shared" si="20"/>
        <v/>
      </c>
      <c r="AS9" s="72">
        <f t="shared" si="5"/>
        <v>0</v>
      </c>
      <c r="AT9" s="72">
        <f t="shared" si="6"/>
        <v>0</v>
      </c>
      <c r="AU9" s="72">
        <f t="shared" si="7"/>
        <v>0</v>
      </c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</row>
    <row r="10" spans="1:67" ht="15.75" customHeight="1" x14ac:dyDescent="0.25">
      <c r="A10" s="929"/>
      <c r="B10" s="53" t="str">
        <f t="shared" si="8"/>
        <v/>
      </c>
      <c r="C10" s="375">
        <f t="shared" si="9"/>
        <v>5</v>
      </c>
      <c r="D10" s="395"/>
      <c r="E10" s="396"/>
      <c r="F10" s="397"/>
      <c r="G10" s="395"/>
      <c r="H10" s="404">
        <f t="shared" si="0"/>
        <v>0</v>
      </c>
      <c r="I10" s="420">
        <f>IF($Q$1&gt;0,TGsh!E8*$M$4%+TGsh!F8*(1-$M$4%),0)</f>
        <v>0</v>
      </c>
      <c r="J10" s="411">
        <f t="shared" si="10"/>
        <v>0</v>
      </c>
      <c r="K10" s="278" t="str">
        <f>'G1'!K10</f>
        <v xml:space="preserve">Mort Acum </v>
      </c>
      <c r="L10" s="292">
        <f>L7</f>
        <v>0</v>
      </c>
      <c r="M10" s="435">
        <f>IF(M3&gt;0,L10/M3,0)</f>
        <v>0</v>
      </c>
      <c r="N10" s="436">
        <f ca="1">TGsh!H10</f>
        <v>0</v>
      </c>
      <c r="O10" s="26"/>
      <c r="P10" s="306"/>
      <c r="Q10" s="306"/>
      <c r="R10" s="315">
        <f t="shared" si="11"/>
        <v>0</v>
      </c>
      <c r="S10" s="320"/>
      <c r="T10" s="306"/>
      <c r="U10" s="321"/>
      <c r="V10" s="35">
        <f t="shared" si="16"/>
        <v>0</v>
      </c>
      <c r="W10" s="306"/>
      <c r="X10" s="32"/>
      <c r="Y10" s="32"/>
      <c r="Z10" s="35">
        <f t="shared" si="17"/>
        <v>0</v>
      </c>
      <c r="AA10" s="367">
        <f t="shared" si="12"/>
        <v>0</v>
      </c>
      <c r="AB10" s="368">
        <f t="shared" si="1"/>
        <v>0</v>
      </c>
      <c r="AC10" s="369">
        <f t="shared" si="13"/>
        <v>0</v>
      </c>
      <c r="AD10" s="327">
        <f t="shared" si="2"/>
        <v>0</v>
      </c>
      <c r="AE10" s="328">
        <f t="shared" si="14"/>
        <v>0</v>
      </c>
      <c r="AF10" s="350">
        <f t="shared" si="3"/>
        <v>0</v>
      </c>
      <c r="AG10" s="29">
        <f t="shared" si="4"/>
        <v>0</v>
      </c>
      <c r="AH10" s="47">
        <f>IF($M$3&gt;0,TGsh!C8*$M$4%+TGsh!D8*(1-$M$4%),0)</f>
        <v>0</v>
      </c>
      <c r="AI10" s="891" t="s">
        <v>46</v>
      </c>
      <c r="AJ10" s="7" t="s">
        <v>3</v>
      </c>
      <c r="AK10" s="13">
        <f>IF(AK8&gt;0,AK7/AK8,0)</f>
        <v>0</v>
      </c>
      <c r="AL10" s="44">
        <f>IF(AL8&gt;0,AL7/AL8,0)</f>
        <v>0</v>
      </c>
      <c r="AM10" s="11" t="str">
        <f>IF(AK8&gt;0,-(AK10-AL10)/AL10*100,"")</f>
        <v/>
      </c>
      <c r="AN10" s="50"/>
      <c r="AO10" s="16">
        <f t="shared" si="19"/>
        <v>4</v>
      </c>
      <c r="AP10" s="8">
        <f>AK27</f>
        <v>0</v>
      </c>
      <c r="AQ10" s="8">
        <f t="shared" ref="AQ10:AR10" si="21">AL27</f>
        <v>0</v>
      </c>
      <c r="AR10" s="17" t="str">
        <f t="shared" si="21"/>
        <v/>
      </c>
      <c r="AS10" s="72">
        <f t="shared" si="5"/>
        <v>0</v>
      </c>
      <c r="AT10" s="72">
        <f t="shared" si="6"/>
        <v>0</v>
      </c>
      <c r="AU10" s="72">
        <f t="shared" si="7"/>
        <v>0</v>
      </c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</row>
    <row r="11" spans="1:67" ht="15.75" x14ac:dyDescent="0.25">
      <c r="A11" s="929"/>
      <c r="B11" s="53" t="str">
        <f t="shared" si="8"/>
        <v/>
      </c>
      <c r="C11" s="375">
        <f t="shared" si="9"/>
        <v>6</v>
      </c>
      <c r="D11" s="395"/>
      <c r="E11" s="396"/>
      <c r="F11" s="399"/>
      <c r="G11" s="409"/>
      <c r="H11" s="405">
        <f t="shared" si="0"/>
        <v>0</v>
      </c>
      <c r="I11" s="420">
        <f>IF($Q$1&gt;0,TGsh!E9*$M$4%+TGsh!F9*(1-$M$4%),0)</f>
        <v>0</v>
      </c>
      <c r="J11" s="412">
        <f t="shared" si="10"/>
        <v>0</v>
      </c>
      <c r="K11" s="276" t="str">
        <f>'G1'!K11</f>
        <v xml:space="preserve">Sel Acum </v>
      </c>
      <c r="L11" s="290">
        <f>L8</f>
        <v>0</v>
      </c>
      <c r="M11" s="431">
        <f>IF(M3&gt;0,L11/M3,0)</f>
        <v>0</v>
      </c>
      <c r="N11" s="437">
        <f>N8</f>
        <v>0</v>
      </c>
      <c r="O11" s="26"/>
      <c r="P11" s="306"/>
      <c r="Q11" s="306"/>
      <c r="R11" s="315">
        <f t="shared" si="11"/>
        <v>0</v>
      </c>
      <c r="S11" s="320"/>
      <c r="T11" s="306"/>
      <c r="U11" s="321"/>
      <c r="V11" s="35">
        <f t="shared" si="16"/>
        <v>0</v>
      </c>
      <c r="W11" s="306"/>
      <c r="X11" s="32"/>
      <c r="Y11" s="32"/>
      <c r="Z11" s="35">
        <f t="shared" si="17"/>
        <v>0</v>
      </c>
      <c r="AA11" s="367">
        <f t="shared" si="12"/>
        <v>0</v>
      </c>
      <c r="AB11" s="368">
        <f t="shared" si="1"/>
        <v>0</v>
      </c>
      <c r="AC11" s="369">
        <f t="shared" si="13"/>
        <v>0</v>
      </c>
      <c r="AD11" s="327">
        <f t="shared" si="2"/>
        <v>0</v>
      </c>
      <c r="AE11" s="328">
        <f t="shared" si="14"/>
        <v>0</v>
      </c>
      <c r="AF11" s="350">
        <f t="shared" si="3"/>
        <v>0</v>
      </c>
      <c r="AG11" s="29">
        <f t="shared" si="4"/>
        <v>0</v>
      </c>
      <c r="AH11" s="47">
        <f>IF($M$3&gt;0,TGsh!C9*$M$4%+TGsh!D9*(1-$M$4%),0)</f>
        <v>0</v>
      </c>
      <c r="AI11" s="892"/>
      <c r="AJ11" s="7" t="s">
        <v>37</v>
      </c>
      <c r="AK11" s="12">
        <f>IF(AK10&gt;0,AK8/AK10/10,0)</f>
        <v>0</v>
      </c>
      <c r="AL11" s="45">
        <f>IF(AL10&gt;0,AL8/AL10/10,0)</f>
        <v>0</v>
      </c>
      <c r="AM11" s="11" t="str">
        <f>IF(AK11&gt;0,(AK11-AL11)/AL11*100,"")</f>
        <v/>
      </c>
      <c r="AN11" s="50"/>
      <c r="AO11" s="16">
        <f t="shared" si="19"/>
        <v>5</v>
      </c>
      <c r="AP11" s="8">
        <f>AK34</f>
        <v>0</v>
      </c>
      <c r="AQ11" s="8">
        <f t="shared" ref="AQ11:AR11" si="22">AL34</f>
        <v>0</v>
      </c>
      <c r="AR11" s="17" t="str">
        <f t="shared" si="22"/>
        <v/>
      </c>
      <c r="AS11" s="72">
        <f t="shared" si="5"/>
        <v>0</v>
      </c>
      <c r="AT11" s="72">
        <f t="shared" si="6"/>
        <v>0</v>
      </c>
      <c r="AU11" s="72">
        <f t="shared" si="7"/>
        <v>0</v>
      </c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</row>
    <row r="12" spans="1:67" ht="16.5" thickBot="1" x14ac:dyDescent="0.3">
      <c r="A12" s="930"/>
      <c r="B12" s="54" t="str">
        <f t="shared" si="8"/>
        <v/>
      </c>
      <c r="C12" s="376">
        <f t="shared" si="9"/>
        <v>7</v>
      </c>
      <c r="D12" s="400"/>
      <c r="E12" s="401"/>
      <c r="F12" s="402"/>
      <c r="G12" s="400"/>
      <c r="H12" s="406">
        <f t="shared" si="0"/>
        <v>0</v>
      </c>
      <c r="I12" s="419">
        <f>IF($Q$1&gt;0,TGsh!E10*$M$4%+TGsh!F10*(1-$M$4%),0)</f>
        <v>0</v>
      </c>
      <c r="J12" s="56">
        <f t="shared" si="10"/>
        <v>0</v>
      </c>
      <c r="K12" s="279" t="str">
        <f>'G1'!K12</f>
        <v xml:space="preserve">Mort + Sel Acum </v>
      </c>
      <c r="L12" s="293">
        <f>SUM(L10:L11)</f>
        <v>0</v>
      </c>
      <c r="M12" s="438">
        <f>IF(M3&gt;0,L12/M3,0)</f>
        <v>0</v>
      </c>
      <c r="N12" s="439">
        <f ca="1">SUM(N10:N11)</f>
        <v>0</v>
      </c>
      <c r="O12" s="27"/>
      <c r="P12" s="307"/>
      <c r="Q12" s="307"/>
      <c r="R12" s="316">
        <f t="shared" si="11"/>
        <v>0</v>
      </c>
      <c r="S12" s="322"/>
      <c r="T12" s="307"/>
      <c r="U12" s="323"/>
      <c r="V12" s="324">
        <f t="shared" si="16"/>
        <v>0</v>
      </c>
      <c r="W12" s="307"/>
      <c r="X12" s="33"/>
      <c r="Y12" s="33"/>
      <c r="Z12" s="36">
        <f t="shared" si="17"/>
        <v>0</v>
      </c>
      <c r="AA12" s="370">
        <f t="shared" si="12"/>
        <v>0</v>
      </c>
      <c r="AB12" s="371">
        <f t="shared" si="1"/>
        <v>0</v>
      </c>
      <c r="AC12" s="372">
        <f t="shared" si="13"/>
        <v>0</v>
      </c>
      <c r="AD12" s="351">
        <f t="shared" si="2"/>
        <v>0</v>
      </c>
      <c r="AE12" s="502">
        <f t="shared" si="14"/>
        <v>0</v>
      </c>
      <c r="AF12" s="352">
        <f t="shared" si="3"/>
        <v>0</v>
      </c>
      <c r="AG12" s="30">
        <f t="shared" si="4"/>
        <v>0</v>
      </c>
      <c r="AH12" s="48">
        <f>IF($M$3&gt;0,TGsh!C10*$M$4%+TGsh!D10*(1-$M$4%),0)</f>
        <v>0</v>
      </c>
      <c r="AI12" s="342">
        <f>IF('Liq-Zoot'!$F$31&gt;0,AK8/1000*J12/'Liq-Zoot'!$F$31,0)</f>
        <v>0</v>
      </c>
      <c r="AJ12" s="343" t="s">
        <v>5</v>
      </c>
      <c r="AK12" s="344">
        <f>IF(AK10&gt;0,AK11/AK10,0)</f>
        <v>0</v>
      </c>
      <c r="AL12" s="345">
        <f>IF(AL10&gt;0,AL11/AL10,0)</f>
        <v>0</v>
      </c>
      <c r="AM12" s="346" t="str">
        <f>IF(AK12&gt;0,(AK12-AL12)/AL12*100,"")</f>
        <v/>
      </c>
      <c r="AN12" s="50"/>
      <c r="AO12" s="16">
        <f t="shared" si="19"/>
        <v>6</v>
      </c>
      <c r="AP12" s="8">
        <f>AK41</f>
        <v>0</v>
      </c>
      <c r="AQ12" s="8">
        <f t="shared" ref="AQ12:AR12" si="23">AL41</f>
        <v>0</v>
      </c>
      <c r="AR12" s="17" t="str">
        <f t="shared" si="23"/>
        <v/>
      </c>
      <c r="AS12" s="72">
        <f t="shared" si="5"/>
        <v>0</v>
      </c>
      <c r="AT12" s="72">
        <f t="shared" si="6"/>
        <v>0</v>
      </c>
      <c r="AU12" s="72">
        <f t="shared" si="7"/>
        <v>0</v>
      </c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</row>
    <row r="13" spans="1:67" ht="15.75" customHeight="1" x14ac:dyDescent="0.25">
      <c r="A13" s="928" t="s">
        <v>11</v>
      </c>
      <c r="B13" s="52" t="str">
        <f t="shared" si="8"/>
        <v/>
      </c>
      <c r="C13" s="374">
        <f t="shared" si="9"/>
        <v>8</v>
      </c>
      <c r="D13" s="392"/>
      <c r="E13" s="393"/>
      <c r="F13" s="394"/>
      <c r="G13" s="392"/>
      <c r="H13" s="403">
        <f t="shared" si="0"/>
        <v>0</v>
      </c>
      <c r="I13" s="418">
        <f>IF($Q$1&gt;0,TGsh!E11*$M$4%+TGsh!F11*(1-$M$4%),0)</f>
        <v>0</v>
      </c>
      <c r="J13" s="55">
        <f t="shared" si="10"/>
        <v>0</v>
      </c>
      <c r="K13" s="294" t="str">
        <f>$K$6</f>
        <v>Item</v>
      </c>
      <c r="L13" s="295" t="str">
        <f>$L$6</f>
        <v>#</v>
      </c>
      <c r="M13" s="295" t="str">
        <f>$M$6</f>
        <v>Real %</v>
      </c>
      <c r="N13" s="296" t="str">
        <f>$N$6</f>
        <v>Guia %</v>
      </c>
      <c r="O13" s="25"/>
      <c r="P13" s="31"/>
      <c r="Q13" s="305"/>
      <c r="R13" s="314">
        <f t="shared" si="11"/>
        <v>0</v>
      </c>
      <c r="S13" s="318"/>
      <c r="T13" s="31"/>
      <c r="U13" s="319"/>
      <c r="V13" s="34">
        <f>V12+S13-IF(T$5="Bulto X 40 K",T13,T13/40)-U13</f>
        <v>0</v>
      </c>
      <c r="W13" s="305"/>
      <c r="X13" s="31"/>
      <c r="Y13" s="31"/>
      <c r="Z13" s="34">
        <f>Z12+W13-IF(X$5="Bulto X 40 K",X13,X13/40)-Y13</f>
        <v>0</v>
      </c>
      <c r="AA13" s="364">
        <f t="shared" si="12"/>
        <v>0</v>
      </c>
      <c r="AB13" s="365">
        <f t="shared" si="1"/>
        <v>0</v>
      </c>
      <c r="AC13" s="366">
        <f t="shared" si="13"/>
        <v>0</v>
      </c>
      <c r="AD13" s="325">
        <f t="shared" si="2"/>
        <v>0</v>
      </c>
      <c r="AE13" s="326">
        <f t="shared" si="14"/>
        <v>0</v>
      </c>
      <c r="AF13" s="349">
        <f t="shared" si="3"/>
        <v>0</v>
      </c>
      <c r="AG13" s="28">
        <f t="shared" si="4"/>
        <v>0</v>
      </c>
      <c r="AH13" s="46">
        <f>IF($M$3&gt;0,TGsh!C11*$M$4%+TGsh!D11*(1-$M$4%),0)</f>
        <v>0</v>
      </c>
      <c r="AI13" s="347" t="str">
        <f>$AI$6</f>
        <v>Gr. Obten.</v>
      </c>
      <c r="AJ13" s="335" t="str">
        <f>$AJ$6</f>
        <v>Cons Sem</v>
      </c>
      <c r="AK13" s="3">
        <f>IF((J19+SUM(F13:F19))&gt;0,SUM(AD13:AD19)*40000/(J19+SUM(F13:F19)),0)</f>
        <v>0</v>
      </c>
      <c r="AL13" s="41">
        <f>SUMIF($AD13:$AD19,"&gt;0",AH13:AH19)</f>
        <v>0</v>
      </c>
      <c r="AM13" s="336" t="str">
        <f>IF(AK13&gt;0,(AK13-AL13)/AL13*100,"")</f>
        <v/>
      </c>
      <c r="AN13" s="50"/>
      <c r="AO13" s="16">
        <f t="shared" si="19"/>
        <v>7</v>
      </c>
      <c r="AP13" s="8">
        <f>AK48</f>
        <v>0</v>
      </c>
      <c r="AQ13" s="8">
        <f t="shared" ref="AQ13:AR13" si="24">AL48</f>
        <v>0</v>
      </c>
      <c r="AR13" s="17" t="str">
        <f t="shared" si="24"/>
        <v/>
      </c>
      <c r="AS13" s="72">
        <f t="shared" si="5"/>
        <v>0</v>
      </c>
      <c r="AT13" s="72">
        <f t="shared" si="6"/>
        <v>0</v>
      </c>
      <c r="AU13" s="72">
        <f t="shared" si="7"/>
        <v>0</v>
      </c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</row>
    <row r="14" spans="1:67" ht="16.5" thickBot="1" x14ac:dyDescent="0.3">
      <c r="A14" s="929"/>
      <c r="B14" s="53" t="str">
        <f t="shared" si="8"/>
        <v/>
      </c>
      <c r="C14" s="375">
        <f t="shared" si="9"/>
        <v>9</v>
      </c>
      <c r="D14" s="395"/>
      <c r="E14" s="396"/>
      <c r="F14" s="397"/>
      <c r="G14" s="395"/>
      <c r="H14" s="404">
        <f t="shared" si="0"/>
        <v>0</v>
      </c>
      <c r="I14" s="421">
        <f>IF($Q$1&gt;0,TGsh!E12*$M$4%+TGsh!F12*(1-$M$4%),0)</f>
        <v>0</v>
      </c>
      <c r="J14" s="411">
        <f t="shared" si="10"/>
        <v>0</v>
      </c>
      <c r="K14" s="297" t="str">
        <f>$K$7</f>
        <v xml:space="preserve">Mort Sem </v>
      </c>
      <c r="L14" s="289">
        <f>SUM(D13:D19)</f>
        <v>0</v>
      </c>
      <c r="M14" s="429">
        <f>IF(J12&gt;0,L14/J12,0)</f>
        <v>0</v>
      </c>
      <c r="N14" s="430">
        <f ca="1">SUM(TGsh!G11:G17)</f>
        <v>0</v>
      </c>
      <c r="O14" s="26"/>
      <c r="P14" s="32"/>
      <c r="Q14" s="32"/>
      <c r="R14" s="315">
        <f t="shared" si="11"/>
        <v>0</v>
      </c>
      <c r="S14" s="320"/>
      <c r="T14" s="32"/>
      <c r="U14" s="321"/>
      <c r="V14" s="35">
        <f>V13+S14-IF(T$5="Bulto X 40 K",T14,T14/40)-U14</f>
        <v>0</v>
      </c>
      <c r="W14" s="306"/>
      <c r="X14" s="32"/>
      <c r="Y14" s="32"/>
      <c r="Z14" s="35">
        <f>Z13+W14-IF(X$5="Bulto X 40 K",X14,X14/40)-Y14</f>
        <v>0</v>
      </c>
      <c r="AA14" s="367">
        <f t="shared" si="12"/>
        <v>0</v>
      </c>
      <c r="AB14" s="368">
        <f t="shared" si="1"/>
        <v>0</v>
      </c>
      <c r="AC14" s="369">
        <f t="shared" si="13"/>
        <v>0</v>
      </c>
      <c r="AD14" s="327">
        <f t="shared" si="2"/>
        <v>0</v>
      </c>
      <c r="AE14" s="328">
        <f t="shared" si="14"/>
        <v>0</v>
      </c>
      <c r="AF14" s="350">
        <f t="shared" si="3"/>
        <v>0</v>
      </c>
      <c r="AG14" s="29">
        <f t="shared" si="4"/>
        <v>0</v>
      </c>
      <c r="AH14" s="47">
        <f>IF($M$3&gt;0,TGsh!C12*$M$4%+TGsh!D12*(1-$M$4%),0)</f>
        <v>0</v>
      </c>
      <c r="AI14" s="337">
        <f>IF(SUM(AD13:AD19)&gt;0,AVERAGEIF(AD13:AD19,"&gt;0",AG13:AG19),0)</f>
        <v>0</v>
      </c>
      <c r="AJ14" s="338" t="str">
        <f>$AJ$7</f>
        <v>Cons Acum</v>
      </c>
      <c r="AK14" s="339">
        <f>IF((J19+SUM(F$6:F19))&gt;0,SUM(AD$6:AD19)*40000/(J19+SUM(F$6:F19)),0)</f>
        <v>0</v>
      </c>
      <c r="AL14" s="340">
        <f>AL7+AL13</f>
        <v>0</v>
      </c>
      <c r="AM14" s="341" t="str">
        <f>IF(AK13&gt;0,(AK14-AL14)/AL14*100,"")</f>
        <v/>
      </c>
      <c r="AN14" s="50"/>
      <c r="AO14" s="18">
        <f t="shared" si="19"/>
        <v>8</v>
      </c>
      <c r="AP14" s="22">
        <f>AK55</f>
        <v>0</v>
      </c>
      <c r="AQ14" s="22">
        <f t="shared" ref="AQ14:AR14" si="25">AL55</f>
        <v>0</v>
      </c>
      <c r="AR14" s="23" t="str">
        <f t="shared" si="25"/>
        <v/>
      </c>
      <c r="AS14" s="72">
        <f t="shared" si="5"/>
        <v>0</v>
      </c>
      <c r="AT14" s="72">
        <f t="shared" si="6"/>
        <v>0</v>
      </c>
      <c r="AU14" s="72">
        <f t="shared" si="7"/>
        <v>0</v>
      </c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</row>
    <row r="15" spans="1:67" ht="16.5" thickBot="1" x14ac:dyDescent="0.3">
      <c r="A15" s="929"/>
      <c r="B15" s="53" t="str">
        <f t="shared" si="8"/>
        <v/>
      </c>
      <c r="C15" s="375">
        <f t="shared" si="9"/>
        <v>10</v>
      </c>
      <c r="D15" s="395"/>
      <c r="E15" s="396"/>
      <c r="F15" s="397"/>
      <c r="G15" s="395"/>
      <c r="H15" s="404">
        <f t="shared" si="0"/>
        <v>0</v>
      </c>
      <c r="I15" s="421">
        <f>IF($Q$1&gt;0,TGsh!E13*$M$4%+TGsh!F13*(1-$M$4%),0)</f>
        <v>0</v>
      </c>
      <c r="J15" s="411">
        <f t="shared" si="10"/>
        <v>0</v>
      </c>
      <c r="K15" s="298" t="str">
        <f>$K$8</f>
        <v xml:space="preserve">Sel Sem </v>
      </c>
      <c r="L15" s="290">
        <f>SUM(E13:E19)</f>
        <v>0</v>
      </c>
      <c r="M15" s="431">
        <f>IF(J12&gt;0,L15/J12,0)</f>
        <v>0</v>
      </c>
      <c r="N15" s="432">
        <v>0</v>
      </c>
      <c r="O15" s="26"/>
      <c r="P15" s="32"/>
      <c r="Q15" s="32"/>
      <c r="R15" s="315">
        <f t="shared" si="11"/>
        <v>0</v>
      </c>
      <c r="S15" s="320"/>
      <c r="T15" s="32"/>
      <c r="U15" s="321"/>
      <c r="V15" s="35">
        <f t="shared" si="16"/>
        <v>0</v>
      </c>
      <c r="W15" s="306"/>
      <c r="X15" s="32"/>
      <c r="Y15" s="32"/>
      <c r="Z15" s="35">
        <f t="shared" si="17"/>
        <v>0</v>
      </c>
      <c r="AA15" s="367">
        <f t="shared" si="12"/>
        <v>0</v>
      </c>
      <c r="AB15" s="368">
        <f t="shared" si="1"/>
        <v>0</v>
      </c>
      <c r="AC15" s="369">
        <f t="shared" si="13"/>
        <v>0</v>
      </c>
      <c r="AD15" s="327">
        <f t="shared" si="2"/>
        <v>0</v>
      </c>
      <c r="AE15" s="328">
        <f t="shared" si="14"/>
        <v>0</v>
      </c>
      <c r="AF15" s="350">
        <f t="shared" si="3"/>
        <v>0</v>
      </c>
      <c r="AG15" s="29">
        <f t="shared" si="4"/>
        <v>0</v>
      </c>
      <c r="AH15" s="47">
        <f>IF($M$3&gt;0,TGsh!C13*$M$4%+TGsh!D13*(1-$M$4%),0)</f>
        <v>0</v>
      </c>
      <c r="AI15" s="40" t="str">
        <f>$AI$8</f>
        <v>Gr. Guía</v>
      </c>
      <c r="AJ15" s="4" t="str">
        <f>$AJ$8</f>
        <v>Peso Sem</v>
      </c>
      <c r="AK15" s="24"/>
      <c r="AL15" s="42">
        <f>IF($Q$1&gt;0,I19,0)</f>
        <v>0</v>
      </c>
      <c r="AM15" s="9" t="str">
        <f>IF(AK15&gt;0,(AK15-AL15)/AL15*100,"")</f>
        <v/>
      </c>
      <c r="AN15" s="50"/>
      <c r="AO15" s="19" t="s">
        <v>9</v>
      </c>
      <c r="AP15" s="20" t="s">
        <v>27</v>
      </c>
      <c r="AQ15" s="20" t="s">
        <v>28</v>
      </c>
      <c r="AR15" s="21" t="s">
        <v>14</v>
      </c>
      <c r="AS15" s="72">
        <f t="shared" si="5"/>
        <v>0</v>
      </c>
      <c r="AT15" s="72">
        <f t="shared" si="6"/>
        <v>0</v>
      </c>
      <c r="AU15" s="72">
        <f t="shared" si="7"/>
        <v>0</v>
      </c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</row>
    <row r="16" spans="1:67" ht="15.75" x14ac:dyDescent="0.25">
      <c r="A16" s="929"/>
      <c r="B16" s="53" t="str">
        <f t="shared" si="8"/>
        <v/>
      </c>
      <c r="C16" s="375">
        <f t="shared" si="9"/>
        <v>11</v>
      </c>
      <c r="D16" s="395"/>
      <c r="E16" s="396"/>
      <c r="F16" s="397"/>
      <c r="G16" s="395"/>
      <c r="H16" s="404">
        <f t="shared" si="0"/>
        <v>0</v>
      </c>
      <c r="I16" s="421">
        <f>IF($Q$1&gt;0,TGsh!E14*$M$4%+TGsh!F14*(1-$M$4%),0)</f>
        <v>0</v>
      </c>
      <c r="J16" s="411">
        <f t="shared" si="10"/>
        <v>0</v>
      </c>
      <c r="K16" s="299" t="str">
        <f>$K$9</f>
        <v xml:space="preserve">Mort + Sel Sem </v>
      </c>
      <c r="L16" s="291">
        <f>SUM(L14:L15)</f>
        <v>0</v>
      </c>
      <c r="M16" s="433">
        <f>IF(J12&gt;0,L16/J12,0)</f>
        <v>0</v>
      </c>
      <c r="N16" s="434">
        <f ca="1">SUM(N14:N15)</f>
        <v>0</v>
      </c>
      <c r="O16" s="26"/>
      <c r="P16" s="32"/>
      <c r="Q16" s="32"/>
      <c r="R16" s="315">
        <f t="shared" si="11"/>
        <v>0</v>
      </c>
      <c r="S16" s="320"/>
      <c r="T16" s="32"/>
      <c r="U16" s="321"/>
      <c r="V16" s="35">
        <f t="shared" si="16"/>
        <v>0</v>
      </c>
      <c r="W16" s="306"/>
      <c r="X16" s="32"/>
      <c r="Y16" s="32"/>
      <c r="Z16" s="35">
        <f t="shared" si="17"/>
        <v>0</v>
      </c>
      <c r="AA16" s="367">
        <f t="shared" si="12"/>
        <v>0</v>
      </c>
      <c r="AB16" s="368">
        <f t="shared" si="1"/>
        <v>0</v>
      </c>
      <c r="AC16" s="369">
        <f t="shared" si="13"/>
        <v>0</v>
      </c>
      <c r="AD16" s="327">
        <f t="shared" si="2"/>
        <v>0</v>
      </c>
      <c r="AE16" s="328">
        <f t="shared" si="14"/>
        <v>0</v>
      </c>
      <c r="AF16" s="350">
        <f t="shared" si="3"/>
        <v>0</v>
      </c>
      <c r="AG16" s="29">
        <f t="shared" si="4"/>
        <v>0</v>
      </c>
      <c r="AH16" s="47">
        <f>IF($M$3&gt;0,TGsh!C14*$M$4%+TGsh!D14*(1-$M$4%),0)</f>
        <v>0</v>
      </c>
      <c r="AI16" s="337">
        <f>IF(SUM(AD13:AD19)&gt;0,AVERAGEIF(AD13:AD19,"&gt;0",AH13:AH19),0)</f>
        <v>0</v>
      </c>
      <c r="AJ16" s="5" t="str">
        <f>AJ9</f>
        <v>Gan Dia</v>
      </c>
      <c r="AK16" s="6">
        <f>IF(AND(AK8&gt;0,AK15&gt;0),(AK15-AK8)/7,0)</f>
        <v>0</v>
      </c>
      <c r="AL16" s="43">
        <f>IF(AND(AL8&gt;0,AL15&gt;0),(AL15-AL8)/7,0)</f>
        <v>0</v>
      </c>
      <c r="AM16" s="10" t="str">
        <f>IF(AK16&gt;0,(AK16-AL16)/AL16*100,"")</f>
        <v/>
      </c>
      <c r="AN16" s="50"/>
      <c r="AO16" s="14">
        <v>1</v>
      </c>
      <c r="AP16" s="3">
        <f>AK7</f>
        <v>0</v>
      </c>
      <c r="AQ16" s="3">
        <f>AL7</f>
        <v>0</v>
      </c>
      <c r="AR16" s="15" t="str">
        <f>AM7</f>
        <v/>
      </c>
      <c r="AS16" s="72">
        <f t="shared" si="5"/>
        <v>0</v>
      </c>
      <c r="AT16" s="72">
        <f t="shared" si="6"/>
        <v>0</v>
      </c>
      <c r="AU16" s="72">
        <f t="shared" si="7"/>
        <v>0</v>
      </c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</row>
    <row r="17" spans="1:58" ht="15.75" customHeight="1" x14ac:dyDescent="0.25">
      <c r="A17" s="929"/>
      <c r="B17" s="53" t="str">
        <f t="shared" si="8"/>
        <v/>
      </c>
      <c r="C17" s="375">
        <f t="shared" si="9"/>
        <v>12</v>
      </c>
      <c r="D17" s="395"/>
      <c r="E17" s="396"/>
      <c r="F17" s="397"/>
      <c r="G17" s="395"/>
      <c r="H17" s="404">
        <f t="shared" si="0"/>
        <v>0</v>
      </c>
      <c r="I17" s="421">
        <f>IF($Q$1&gt;0,TGsh!E15*$M$4%+TGsh!F15*(1-$M$4%),0)</f>
        <v>0</v>
      </c>
      <c r="J17" s="411">
        <f t="shared" si="10"/>
        <v>0</v>
      </c>
      <c r="K17" s="300" t="str">
        <f>$K$10</f>
        <v xml:space="preserve">Mort Acum </v>
      </c>
      <c r="L17" s="292">
        <f>L14+L10</f>
        <v>0</v>
      </c>
      <c r="M17" s="435">
        <f>IF($M$3&gt;0,L17/$M$3,0)</f>
        <v>0</v>
      </c>
      <c r="N17" s="436">
        <f ca="1">TGsh!H17</f>
        <v>0</v>
      </c>
      <c r="O17" s="26"/>
      <c r="P17" s="32"/>
      <c r="Q17" s="32"/>
      <c r="R17" s="315">
        <f t="shared" si="11"/>
        <v>0</v>
      </c>
      <c r="S17" s="320"/>
      <c r="T17" s="32"/>
      <c r="U17" s="321"/>
      <c r="V17" s="35">
        <f t="shared" si="16"/>
        <v>0</v>
      </c>
      <c r="W17" s="306"/>
      <c r="X17" s="32"/>
      <c r="Y17" s="32"/>
      <c r="Z17" s="35">
        <f t="shared" si="17"/>
        <v>0</v>
      </c>
      <c r="AA17" s="367">
        <f t="shared" si="12"/>
        <v>0</v>
      </c>
      <c r="AB17" s="368">
        <f t="shared" si="1"/>
        <v>0</v>
      </c>
      <c r="AC17" s="369">
        <f t="shared" si="13"/>
        <v>0</v>
      </c>
      <c r="AD17" s="327">
        <f t="shared" si="2"/>
        <v>0</v>
      </c>
      <c r="AE17" s="328">
        <f t="shared" si="14"/>
        <v>0</v>
      </c>
      <c r="AF17" s="350">
        <f t="shared" si="3"/>
        <v>0</v>
      </c>
      <c r="AG17" s="29">
        <f t="shared" si="4"/>
        <v>0</v>
      </c>
      <c r="AH17" s="47">
        <f>IF($M$3&gt;0,TGsh!C15*$M$4%+TGsh!D15*(1-$M$4%),0)</f>
        <v>0</v>
      </c>
      <c r="AI17" s="891" t="s">
        <v>46</v>
      </c>
      <c r="AJ17" s="7" t="str">
        <f>$AJ$10</f>
        <v>Conversión</v>
      </c>
      <c r="AK17" s="13">
        <f>IF(AK15&gt;0,AK14/AK15,0)</f>
        <v>0</v>
      </c>
      <c r="AL17" s="44">
        <f>IF(AL15&gt;0,AL14/AL15,0)</f>
        <v>0</v>
      </c>
      <c r="AM17" s="11" t="str">
        <f>IF(AK15&gt;0,-(AK17-AL17)/AL17*100,"")</f>
        <v/>
      </c>
      <c r="AN17" s="50"/>
      <c r="AO17" s="16">
        <f>AO16+1</f>
        <v>2</v>
      </c>
      <c r="AP17" s="8">
        <f>AK14</f>
        <v>0</v>
      </c>
      <c r="AQ17" s="8">
        <f>AL14</f>
        <v>0</v>
      </c>
      <c r="AR17" s="17" t="str">
        <f>AM14</f>
        <v/>
      </c>
      <c r="AS17" s="72">
        <f t="shared" si="5"/>
        <v>0</v>
      </c>
      <c r="AT17" s="72">
        <f t="shared" si="6"/>
        <v>0</v>
      </c>
      <c r="AU17" s="72">
        <f t="shared" si="7"/>
        <v>0</v>
      </c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</row>
    <row r="18" spans="1:58" ht="15.75" x14ac:dyDescent="0.25">
      <c r="A18" s="929"/>
      <c r="B18" s="53" t="str">
        <f t="shared" si="8"/>
        <v/>
      </c>
      <c r="C18" s="375">
        <f t="shared" si="9"/>
        <v>13</v>
      </c>
      <c r="D18" s="395"/>
      <c r="E18" s="396"/>
      <c r="F18" s="397"/>
      <c r="G18" s="409"/>
      <c r="H18" s="405">
        <f t="shared" si="0"/>
        <v>0</v>
      </c>
      <c r="I18" s="420">
        <f>IF($Q$1&gt;0,TGsh!E16*$M$4%+TGsh!F16*(1-$M$4%),0)</f>
        <v>0</v>
      </c>
      <c r="J18" s="412">
        <f t="shared" si="10"/>
        <v>0</v>
      </c>
      <c r="K18" s="298" t="str">
        <f>$K$11</f>
        <v xml:space="preserve">Sel Acum </v>
      </c>
      <c r="L18" s="290">
        <f>L15+L11</f>
        <v>0</v>
      </c>
      <c r="M18" s="431">
        <f>IF($M$3&gt;0,L18/$M$3,0)</f>
        <v>0</v>
      </c>
      <c r="N18" s="437">
        <f>N15+N11</f>
        <v>0</v>
      </c>
      <c r="O18" s="26"/>
      <c r="P18" s="32"/>
      <c r="Q18" s="32"/>
      <c r="R18" s="315">
        <f t="shared" si="11"/>
        <v>0</v>
      </c>
      <c r="S18" s="320"/>
      <c r="T18" s="32"/>
      <c r="U18" s="321"/>
      <c r="V18" s="35">
        <f t="shared" si="16"/>
        <v>0</v>
      </c>
      <c r="W18" s="306"/>
      <c r="X18" s="32"/>
      <c r="Y18" s="32"/>
      <c r="Z18" s="35">
        <f t="shared" si="17"/>
        <v>0</v>
      </c>
      <c r="AA18" s="367">
        <f t="shared" si="12"/>
        <v>0</v>
      </c>
      <c r="AB18" s="368">
        <f t="shared" si="1"/>
        <v>0</v>
      </c>
      <c r="AC18" s="369">
        <f t="shared" si="13"/>
        <v>0</v>
      </c>
      <c r="AD18" s="327">
        <f t="shared" si="2"/>
        <v>0</v>
      </c>
      <c r="AE18" s="328">
        <f t="shared" si="14"/>
        <v>0</v>
      </c>
      <c r="AF18" s="350">
        <f t="shared" si="3"/>
        <v>0</v>
      </c>
      <c r="AG18" s="29">
        <f t="shared" si="4"/>
        <v>0</v>
      </c>
      <c r="AH18" s="47">
        <f>IF($M$3&gt;0,TGsh!C16*$M$4%+TGsh!D16*(1-$M$4%),0)</f>
        <v>0</v>
      </c>
      <c r="AI18" s="892"/>
      <c r="AJ18" s="7" t="str">
        <f>$AJ$11</f>
        <v>Ef. Alim</v>
      </c>
      <c r="AK18" s="12">
        <f>IF(AK17&gt;0,AK15/AK17/10,0)</f>
        <v>0</v>
      </c>
      <c r="AL18" s="45">
        <f>IF(AL17&gt;0,AL15/AL17/10,0)</f>
        <v>0</v>
      </c>
      <c r="AM18" s="11" t="str">
        <f>IF(AK18&gt;0,(AK18-AL18)/AL18*100,"")</f>
        <v/>
      </c>
      <c r="AN18" s="50"/>
      <c r="AO18" s="16">
        <f t="shared" ref="AO18:AO23" si="26">AO17+1</f>
        <v>3</v>
      </c>
      <c r="AP18" s="8">
        <f>AK21</f>
        <v>0</v>
      </c>
      <c r="AQ18" s="8">
        <f>AL21</f>
        <v>0</v>
      </c>
      <c r="AR18" s="17" t="str">
        <f>AM21</f>
        <v/>
      </c>
      <c r="AS18" s="72">
        <f t="shared" si="5"/>
        <v>0</v>
      </c>
      <c r="AT18" s="72">
        <f t="shared" si="6"/>
        <v>0</v>
      </c>
      <c r="AU18" s="72">
        <f t="shared" si="7"/>
        <v>0</v>
      </c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</row>
    <row r="19" spans="1:58" ht="16.5" thickBot="1" x14ac:dyDescent="0.3">
      <c r="A19" s="930"/>
      <c r="B19" s="54" t="str">
        <f t="shared" si="8"/>
        <v/>
      </c>
      <c r="C19" s="376">
        <f t="shared" si="9"/>
        <v>14</v>
      </c>
      <c r="D19" s="400"/>
      <c r="E19" s="401"/>
      <c r="F19" s="402"/>
      <c r="G19" s="400"/>
      <c r="H19" s="406">
        <f t="shared" si="0"/>
        <v>0</v>
      </c>
      <c r="I19" s="419">
        <f>IF($Q$1&gt;0,TGsh!E17*$M$4%+TGsh!F17*(1-$M$4%),0)</f>
        <v>0</v>
      </c>
      <c r="J19" s="56">
        <f t="shared" si="10"/>
        <v>0</v>
      </c>
      <c r="K19" s="301" t="str">
        <f>$K$12</f>
        <v xml:space="preserve">Mort + Sel Acum </v>
      </c>
      <c r="L19" s="293">
        <f>L16+L12</f>
        <v>0</v>
      </c>
      <c r="M19" s="438">
        <f>IF($M$3&gt;0,L19/$M$3,0)</f>
        <v>0</v>
      </c>
      <c r="N19" s="439">
        <f ca="1">SUM(N17:N18)</f>
        <v>0</v>
      </c>
      <c r="O19" s="27"/>
      <c r="P19" s="33"/>
      <c r="Q19" s="33"/>
      <c r="R19" s="316">
        <f t="shared" si="11"/>
        <v>0</v>
      </c>
      <c r="S19" s="322"/>
      <c r="T19" s="33"/>
      <c r="U19" s="323"/>
      <c r="V19" s="324">
        <f t="shared" si="16"/>
        <v>0</v>
      </c>
      <c r="W19" s="307"/>
      <c r="X19" s="33"/>
      <c r="Y19" s="33"/>
      <c r="Z19" s="36">
        <f t="shared" si="17"/>
        <v>0</v>
      </c>
      <c r="AA19" s="370">
        <f t="shared" si="12"/>
        <v>0</v>
      </c>
      <c r="AB19" s="371">
        <f t="shared" si="1"/>
        <v>0</v>
      </c>
      <c r="AC19" s="372">
        <f t="shared" si="13"/>
        <v>0</v>
      </c>
      <c r="AD19" s="351">
        <f t="shared" si="2"/>
        <v>0</v>
      </c>
      <c r="AE19" s="502">
        <f t="shared" si="14"/>
        <v>0</v>
      </c>
      <c r="AF19" s="352">
        <f t="shared" si="3"/>
        <v>0</v>
      </c>
      <c r="AG19" s="30">
        <f t="shared" si="4"/>
        <v>0</v>
      </c>
      <c r="AH19" s="48">
        <f>IF($M$3&gt;0,TGsh!C17*$M$4%+TGsh!D17*(1-$M$4%),0)</f>
        <v>0</v>
      </c>
      <c r="AI19" s="342">
        <f>IF('Liq-Zoot'!$F$31&gt;0,AK15/1000*J19/'Liq-Zoot'!$F$31,0)</f>
        <v>0</v>
      </c>
      <c r="AJ19" s="343" t="str">
        <f>$AJ$12</f>
        <v>Fact. IP</v>
      </c>
      <c r="AK19" s="344">
        <f>IF(AK17&gt;0,AK18/AK17,0)</f>
        <v>0</v>
      </c>
      <c r="AL19" s="345">
        <f>IF(AL17&gt;0,AL18/AL17,0)</f>
        <v>0</v>
      </c>
      <c r="AM19" s="346" t="str">
        <f>IF(AK19&gt;0,(AK19-AL19)/AL19*100,"")</f>
        <v/>
      </c>
      <c r="AN19" s="50"/>
      <c r="AO19" s="16">
        <f t="shared" si="26"/>
        <v>4</v>
      </c>
      <c r="AP19" s="8">
        <f>AK28</f>
        <v>0</v>
      </c>
      <c r="AQ19" s="8">
        <f>AL28</f>
        <v>0</v>
      </c>
      <c r="AR19" s="17" t="str">
        <f>AM28</f>
        <v/>
      </c>
      <c r="AS19" s="72">
        <f t="shared" si="5"/>
        <v>0</v>
      </c>
      <c r="AT19" s="72">
        <f t="shared" si="6"/>
        <v>0</v>
      </c>
      <c r="AU19" s="72">
        <f t="shared" si="7"/>
        <v>0</v>
      </c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</row>
    <row r="20" spans="1:58" ht="15.75" customHeight="1" x14ac:dyDescent="0.25">
      <c r="A20" s="928" t="s">
        <v>12</v>
      </c>
      <c r="B20" s="52" t="str">
        <f t="shared" si="8"/>
        <v/>
      </c>
      <c r="C20" s="374">
        <f t="shared" si="9"/>
        <v>15</v>
      </c>
      <c r="D20" s="392"/>
      <c r="E20" s="393"/>
      <c r="F20" s="394"/>
      <c r="G20" s="392"/>
      <c r="H20" s="403">
        <f t="shared" si="0"/>
        <v>0</v>
      </c>
      <c r="I20" s="418">
        <f>IF($Q$1&gt;0,TGsh!E18*$M$4%+TGsh!F18*(1-$M$4%),0)</f>
        <v>0</v>
      </c>
      <c r="J20" s="55">
        <f t="shared" si="10"/>
        <v>0</v>
      </c>
      <c r="K20" s="294" t="str">
        <f>$K$6</f>
        <v>Item</v>
      </c>
      <c r="L20" s="295" t="str">
        <f>$L$6</f>
        <v>#</v>
      </c>
      <c r="M20" s="295" t="str">
        <f>$M$6</f>
        <v>Real %</v>
      </c>
      <c r="N20" s="296" t="str">
        <f t="shared" ref="N20" si="27">$N$6</f>
        <v>Guia %</v>
      </c>
      <c r="O20" s="25"/>
      <c r="P20" s="31"/>
      <c r="Q20" s="31"/>
      <c r="R20" s="314">
        <f t="shared" si="11"/>
        <v>0</v>
      </c>
      <c r="S20" s="318"/>
      <c r="T20" s="31"/>
      <c r="U20" s="319"/>
      <c r="V20" s="34">
        <f t="shared" si="16"/>
        <v>0</v>
      </c>
      <c r="W20" s="305"/>
      <c r="X20" s="31"/>
      <c r="Y20" s="31"/>
      <c r="Z20" s="34">
        <f t="shared" si="17"/>
        <v>0</v>
      </c>
      <c r="AA20" s="364">
        <f t="shared" si="12"/>
        <v>0</v>
      </c>
      <c r="AB20" s="365">
        <f t="shared" si="1"/>
        <v>0</v>
      </c>
      <c r="AC20" s="366">
        <f t="shared" si="13"/>
        <v>0</v>
      </c>
      <c r="AD20" s="325">
        <f t="shared" si="2"/>
        <v>0</v>
      </c>
      <c r="AE20" s="326">
        <f t="shared" si="14"/>
        <v>0</v>
      </c>
      <c r="AF20" s="349">
        <f t="shared" si="3"/>
        <v>0</v>
      </c>
      <c r="AG20" s="28">
        <f t="shared" si="4"/>
        <v>0</v>
      </c>
      <c r="AH20" s="46">
        <f>IF($M$3&gt;0,TGsh!C18*$M$4%+TGsh!D18*(1-$M$4%),0)</f>
        <v>0</v>
      </c>
      <c r="AI20" s="347" t="str">
        <f>$AI$6</f>
        <v>Gr. Obten.</v>
      </c>
      <c r="AJ20" s="335" t="str">
        <f>$AJ$6</f>
        <v>Cons Sem</v>
      </c>
      <c r="AK20" s="3">
        <f>IF((J26+SUM(F20:F26))&gt;0,SUM(AD20:AD26)*40000/(J26+SUM(F20:F26)),0)</f>
        <v>0</v>
      </c>
      <c r="AL20" s="41">
        <f>SUMIF($AD20:$AD26,"&gt;0",AH20:AH26)</f>
        <v>0</v>
      </c>
      <c r="AM20" s="336" t="str">
        <f>IF(AK20&gt;0,(AK20-AL20)/AL20*100,"")</f>
        <v/>
      </c>
      <c r="AN20" s="50"/>
      <c r="AO20" s="16">
        <f t="shared" si="26"/>
        <v>5</v>
      </c>
      <c r="AP20" s="8">
        <f>AK35</f>
        <v>0</v>
      </c>
      <c r="AQ20" s="8">
        <f>AL35</f>
        <v>0</v>
      </c>
      <c r="AR20" s="17" t="str">
        <f>AM35</f>
        <v/>
      </c>
      <c r="AS20" s="72">
        <f t="shared" si="5"/>
        <v>0</v>
      </c>
      <c r="AT20" s="72">
        <f t="shared" si="6"/>
        <v>0</v>
      </c>
      <c r="AU20" s="72">
        <f t="shared" si="7"/>
        <v>0</v>
      </c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</row>
    <row r="21" spans="1:58" ht="16.5" thickBot="1" x14ac:dyDescent="0.3">
      <c r="A21" s="929"/>
      <c r="B21" s="53" t="str">
        <f t="shared" si="8"/>
        <v/>
      </c>
      <c r="C21" s="375">
        <f t="shared" si="9"/>
        <v>16</v>
      </c>
      <c r="D21" s="395"/>
      <c r="E21" s="396"/>
      <c r="F21" s="397"/>
      <c r="G21" s="395"/>
      <c r="H21" s="404">
        <f t="shared" si="0"/>
        <v>0</v>
      </c>
      <c r="I21" s="421">
        <f>IF($Q$1&gt;0,TGsh!E19*$M$4%+TGsh!F19*(1-$M$4%),0)</f>
        <v>0</v>
      </c>
      <c r="J21" s="411">
        <f t="shared" si="10"/>
        <v>0</v>
      </c>
      <c r="K21" s="297" t="str">
        <f>$K$7</f>
        <v xml:space="preserve">Mort Sem </v>
      </c>
      <c r="L21" s="289">
        <f>SUM(D20:D26)</f>
        <v>0</v>
      </c>
      <c r="M21" s="429">
        <f>IF(J19&gt;0,L21/J19,0)</f>
        <v>0</v>
      </c>
      <c r="N21" s="430">
        <f ca="1">SUM(TGsh!G18:G24)</f>
        <v>0</v>
      </c>
      <c r="O21" s="26"/>
      <c r="P21" s="32"/>
      <c r="Q21" s="32"/>
      <c r="R21" s="315">
        <f t="shared" si="11"/>
        <v>0</v>
      </c>
      <c r="S21" s="320"/>
      <c r="T21" s="32"/>
      <c r="U21" s="321"/>
      <c r="V21" s="35">
        <f t="shared" si="16"/>
        <v>0</v>
      </c>
      <c r="W21" s="306"/>
      <c r="X21" s="32"/>
      <c r="Y21" s="32"/>
      <c r="Z21" s="35">
        <f t="shared" si="17"/>
        <v>0</v>
      </c>
      <c r="AA21" s="367">
        <f t="shared" si="12"/>
        <v>0</v>
      </c>
      <c r="AB21" s="368">
        <f t="shared" si="1"/>
        <v>0</v>
      </c>
      <c r="AC21" s="369">
        <f t="shared" si="13"/>
        <v>0</v>
      </c>
      <c r="AD21" s="327">
        <f t="shared" si="2"/>
        <v>0</v>
      </c>
      <c r="AE21" s="328">
        <f t="shared" si="14"/>
        <v>0</v>
      </c>
      <c r="AF21" s="350">
        <f t="shared" si="3"/>
        <v>0</v>
      </c>
      <c r="AG21" s="29">
        <f t="shared" si="4"/>
        <v>0</v>
      </c>
      <c r="AH21" s="47">
        <f>IF($M$3&gt;0,TGsh!C19*$M$4%+TGsh!D19*(1-$M$4%),0)</f>
        <v>0</v>
      </c>
      <c r="AI21" s="337">
        <f>IF(SUM(AD20:AD26)&gt;0,AVERAGEIF(AD20:AD26,"&gt;0",AG20:AG26),0)</f>
        <v>0</v>
      </c>
      <c r="AJ21" s="338" t="str">
        <f>$AJ$7</f>
        <v>Cons Acum</v>
      </c>
      <c r="AK21" s="339">
        <f>IF((J26+SUM(F$6:F26))&gt;0,SUM(AD$6:AD26)*40000/(J26+SUM(F$6:F26)),0)</f>
        <v>0</v>
      </c>
      <c r="AL21" s="340">
        <f>AL14+AL20</f>
        <v>0</v>
      </c>
      <c r="AM21" s="341" t="str">
        <f>IF(AK20&gt;0,(AK21-AL21)/AL21*100,"")</f>
        <v/>
      </c>
      <c r="AN21" s="50"/>
      <c r="AO21" s="16">
        <f t="shared" si="26"/>
        <v>6</v>
      </c>
      <c r="AP21" s="8">
        <f>AK42</f>
        <v>0</v>
      </c>
      <c r="AQ21" s="8">
        <f>AL42</f>
        <v>0</v>
      </c>
      <c r="AR21" s="17" t="str">
        <f>AM42</f>
        <v/>
      </c>
      <c r="AS21" s="72">
        <f t="shared" si="5"/>
        <v>0</v>
      </c>
      <c r="AT21" s="72">
        <f t="shared" si="6"/>
        <v>0</v>
      </c>
      <c r="AU21" s="72">
        <f t="shared" si="7"/>
        <v>0</v>
      </c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</row>
    <row r="22" spans="1:58" ht="16.5" thickBot="1" x14ac:dyDescent="0.3">
      <c r="A22" s="929"/>
      <c r="B22" s="53" t="str">
        <f t="shared" si="8"/>
        <v/>
      </c>
      <c r="C22" s="375">
        <f t="shared" si="9"/>
        <v>17</v>
      </c>
      <c r="D22" s="395"/>
      <c r="E22" s="396"/>
      <c r="F22" s="397"/>
      <c r="G22" s="395"/>
      <c r="H22" s="404">
        <f t="shared" si="0"/>
        <v>0</v>
      </c>
      <c r="I22" s="421">
        <f>IF($Q$1&gt;0,TGsh!E20*$M$4%+TGsh!F20*(1-$M$4%),0)</f>
        <v>0</v>
      </c>
      <c r="J22" s="411">
        <f t="shared" si="10"/>
        <v>0</v>
      </c>
      <c r="K22" s="298" t="str">
        <f>$K$8</f>
        <v xml:space="preserve">Sel Sem </v>
      </c>
      <c r="L22" s="290">
        <f>SUM(E20:E26)</f>
        <v>0</v>
      </c>
      <c r="M22" s="431">
        <f>IF(J19&gt;0,L22/J19,0)</f>
        <v>0</v>
      </c>
      <c r="N22" s="432">
        <v>0</v>
      </c>
      <c r="O22" s="26"/>
      <c r="P22" s="32"/>
      <c r="Q22" s="32"/>
      <c r="R22" s="315">
        <f t="shared" si="11"/>
        <v>0</v>
      </c>
      <c r="S22" s="320"/>
      <c r="T22" s="32"/>
      <c r="U22" s="321"/>
      <c r="V22" s="35">
        <f t="shared" si="16"/>
        <v>0</v>
      </c>
      <c r="W22" s="306"/>
      <c r="X22" s="32"/>
      <c r="Y22" s="32"/>
      <c r="Z22" s="35">
        <f t="shared" si="17"/>
        <v>0</v>
      </c>
      <c r="AA22" s="367">
        <f t="shared" si="12"/>
        <v>0</v>
      </c>
      <c r="AB22" s="368">
        <f t="shared" si="1"/>
        <v>0</v>
      </c>
      <c r="AC22" s="369">
        <f t="shared" si="13"/>
        <v>0</v>
      </c>
      <c r="AD22" s="327">
        <f t="shared" si="2"/>
        <v>0</v>
      </c>
      <c r="AE22" s="328">
        <f t="shared" si="14"/>
        <v>0</v>
      </c>
      <c r="AF22" s="350">
        <f t="shared" si="3"/>
        <v>0</v>
      </c>
      <c r="AG22" s="29">
        <f t="shared" si="4"/>
        <v>0</v>
      </c>
      <c r="AH22" s="47">
        <f>IF($M$3&gt;0,TGsh!C20*$M$4%+TGsh!D20*(1-$M$4%),0)</f>
        <v>0</v>
      </c>
      <c r="AI22" s="40" t="str">
        <f>$AI$8</f>
        <v>Gr. Guía</v>
      </c>
      <c r="AJ22" s="4" t="str">
        <f>$AJ$8</f>
        <v>Peso Sem</v>
      </c>
      <c r="AK22" s="24"/>
      <c r="AL22" s="42">
        <f>IF($Q$1&gt;0,I26,0)</f>
        <v>0</v>
      </c>
      <c r="AM22" s="9" t="str">
        <f>IF(AK22&gt;0,(AK22-AL22)/AL22*100,"")</f>
        <v/>
      </c>
      <c r="AN22" s="50"/>
      <c r="AO22" s="16">
        <f t="shared" si="26"/>
        <v>7</v>
      </c>
      <c r="AP22" s="8">
        <f>AK49</f>
        <v>0</v>
      </c>
      <c r="AQ22" s="8">
        <f>AL49</f>
        <v>0</v>
      </c>
      <c r="AR22" s="17" t="str">
        <f>AM49</f>
        <v/>
      </c>
      <c r="AS22" s="72">
        <f t="shared" si="5"/>
        <v>0</v>
      </c>
      <c r="AT22" s="72">
        <f t="shared" si="6"/>
        <v>0</v>
      </c>
      <c r="AU22" s="72">
        <f t="shared" si="7"/>
        <v>0</v>
      </c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</row>
    <row r="23" spans="1:58" ht="16.5" thickBot="1" x14ac:dyDescent="0.3">
      <c r="A23" s="929"/>
      <c r="B23" s="53" t="str">
        <f t="shared" si="8"/>
        <v/>
      </c>
      <c r="C23" s="375">
        <f t="shared" si="9"/>
        <v>18</v>
      </c>
      <c r="D23" s="395"/>
      <c r="E23" s="396"/>
      <c r="F23" s="397"/>
      <c r="G23" s="395"/>
      <c r="H23" s="404">
        <f t="shared" si="0"/>
        <v>0</v>
      </c>
      <c r="I23" s="421">
        <f>IF($Q$1&gt;0,TGsh!E21*$M$4%+TGsh!F21*(1-$M$4%),0)</f>
        <v>0</v>
      </c>
      <c r="J23" s="411">
        <f t="shared" si="10"/>
        <v>0</v>
      </c>
      <c r="K23" s="299" t="str">
        <f>$K$9</f>
        <v xml:space="preserve">Mort + Sel Sem </v>
      </c>
      <c r="L23" s="291">
        <f>SUM(L21:L22)</f>
        <v>0</v>
      </c>
      <c r="M23" s="433">
        <f>IF(J19&gt;0,L23/J19,0)</f>
        <v>0</v>
      </c>
      <c r="N23" s="434">
        <f t="shared" ref="N23" ca="1" si="28">SUM(N21:N22)</f>
        <v>0</v>
      </c>
      <c r="O23" s="26"/>
      <c r="P23" s="32"/>
      <c r="Q23" s="32"/>
      <c r="R23" s="315">
        <f t="shared" si="11"/>
        <v>0</v>
      </c>
      <c r="S23" s="320"/>
      <c r="T23" s="32"/>
      <c r="U23" s="321"/>
      <c r="V23" s="35">
        <f t="shared" si="16"/>
        <v>0</v>
      </c>
      <c r="W23" s="306"/>
      <c r="X23" s="32"/>
      <c r="Y23" s="32"/>
      <c r="Z23" s="35">
        <f t="shared" si="17"/>
        <v>0</v>
      </c>
      <c r="AA23" s="367">
        <f t="shared" si="12"/>
        <v>0</v>
      </c>
      <c r="AB23" s="368">
        <f t="shared" si="1"/>
        <v>0</v>
      </c>
      <c r="AC23" s="369">
        <f t="shared" si="13"/>
        <v>0</v>
      </c>
      <c r="AD23" s="327">
        <f t="shared" si="2"/>
        <v>0</v>
      </c>
      <c r="AE23" s="328">
        <f t="shared" si="14"/>
        <v>0</v>
      </c>
      <c r="AF23" s="350">
        <f t="shared" si="3"/>
        <v>0</v>
      </c>
      <c r="AG23" s="29">
        <f t="shared" si="4"/>
        <v>0</v>
      </c>
      <c r="AH23" s="47">
        <f>IF($M$3&gt;0,TGsh!C21*$M$4%+TGsh!D21*(1-$M$4%),0)</f>
        <v>0</v>
      </c>
      <c r="AI23" s="337">
        <f>IF(SUM(AD20:AD26)&gt;0,AVERAGEIF(AD20:AD26,"&gt;0",AH20:AH26),0)</f>
        <v>0</v>
      </c>
      <c r="AJ23" s="5" t="str">
        <f t="shared" ref="AJ23" si="29">AJ16</f>
        <v>Gan Dia</v>
      </c>
      <c r="AK23" s="6">
        <f>IF(AND(AK15&gt;0,AK22&gt;0),(AK22-AK15)/(COUNTIF(AD20:AD26,"&gt;0")),0)</f>
        <v>0</v>
      </c>
      <c r="AL23" s="43">
        <f>IF(AND(AL15&gt;0,AL22&gt;0,COUNTIF(AD20:AD26,"&gt;0")),(AL22-AL15)/COUNTIF(AD20:AD26,"&gt;0"),0)</f>
        <v>0</v>
      </c>
      <c r="AM23" s="10" t="str">
        <f>IF(AK23&gt;0,(AK23-AL23)/AL23*100,"")</f>
        <v/>
      </c>
      <c r="AN23" s="354"/>
      <c r="AO23" s="18">
        <f t="shared" si="26"/>
        <v>8</v>
      </c>
      <c r="AP23" s="22">
        <f>AK56</f>
        <v>0</v>
      </c>
      <c r="AQ23" s="22">
        <f t="shared" ref="AQ23:AR23" si="30">AL56</f>
        <v>0</v>
      </c>
      <c r="AR23" s="23" t="str">
        <f t="shared" si="30"/>
        <v/>
      </c>
      <c r="AS23" s="72">
        <f t="shared" si="5"/>
        <v>0</v>
      </c>
      <c r="AT23" s="72">
        <f t="shared" si="6"/>
        <v>0</v>
      </c>
      <c r="AU23" s="72">
        <f t="shared" si="7"/>
        <v>0</v>
      </c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</row>
    <row r="24" spans="1:58" ht="16.5" customHeight="1" thickBot="1" x14ac:dyDescent="0.3">
      <c r="A24" s="929"/>
      <c r="B24" s="53" t="str">
        <f t="shared" si="8"/>
        <v/>
      </c>
      <c r="C24" s="375">
        <f t="shared" si="9"/>
        <v>19</v>
      </c>
      <c r="D24" s="395"/>
      <c r="E24" s="396"/>
      <c r="F24" s="397"/>
      <c r="G24" s="395"/>
      <c r="H24" s="404">
        <f t="shared" si="0"/>
        <v>0</v>
      </c>
      <c r="I24" s="421">
        <f>IF($Q$1&gt;0,TGsh!E22*$M$4%+TGsh!F22*(1-$M$4%),0)</f>
        <v>0</v>
      </c>
      <c r="J24" s="411">
        <f t="shared" si="10"/>
        <v>0</v>
      </c>
      <c r="K24" s="300" t="str">
        <f>$K$10</f>
        <v xml:space="preserve">Mort Acum </v>
      </c>
      <c r="L24" s="292">
        <f>L21+L17</f>
        <v>0</v>
      </c>
      <c r="M24" s="435">
        <f>IF($M$3&gt;0,L24/$M$3,0)</f>
        <v>0</v>
      </c>
      <c r="N24" s="436">
        <f ca="1">TGsh!H24</f>
        <v>0</v>
      </c>
      <c r="O24" s="26"/>
      <c r="P24" s="32"/>
      <c r="Q24" s="32"/>
      <c r="R24" s="315">
        <f t="shared" si="11"/>
        <v>0</v>
      </c>
      <c r="S24" s="320"/>
      <c r="T24" s="32"/>
      <c r="U24" s="321"/>
      <c r="V24" s="35">
        <f t="shared" si="16"/>
        <v>0</v>
      </c>
      <c r="W24" s="306"/>
      <c r="X24" s="32"/>
      <c r="Y24" s="32"/>
      <c r="Z24" s="35">
        <f t="shared" si="17"/>
        <v>0</v>
      </c>
      <c r="AA24" s="367">
        <f t="shared" si="12"/>
        <v>0</v>
      </c>
      <c r="AB24" s="368">
        <f t="shared" si="1"/>
        <v>0</v>
      </c>
      <c r="AC24" s="369">
        <f t="shared" si="13"/>
        <v>0</v>
      </c>
      <c r="AD24" s="327">
        <f t="shared" si="2"/>
        <v>0</v>
      </c>
      <c r="AE24" s="328">
        <f t="shared" si="14"/>
        <v>0</v>
      </c>
      <c r="AF24" s="350">
        <f t="shared" si="3"/>
        <v>0</v>
      </c>
      <c r="AG24" s="29">
        <f t="shared" si="4"/>
        <v>0</v>
      </c>
      <c r="AH24" s="47">
        <f>IF($M$3&gt;0,TGsh!C22*$M$4%+TGsh!D22*(1-$M$4%),0)</f>
        <v>0</v>
      </c>
      <c r="AI24" s="891" t="s">
        <v>46</v>
      </c>
      <c r="AJ24" s="7" t="str">
        <f>$AJ$10</f>
        <v>Conversión</v>
      </c>
      <c r="AK24" s="13">
        <f>IF(AK22&gt;0,AK21/AK22,0)</f>
        <v>0</v>
      </c>
      <c r="AL24" s="44">
        <f>IF(AL22&gt;0,AL21/AL22,0)</f>
        <v>0</v>
      </c>
      <c r="AM24" s="11" t="str">
        <f>IF(AK22&gt;0,-(AK24-AL24)/AL24*100,"")</f>
        <v/>
      </c>
      <c r="AN24" s="50"/>
      <c r="AO24" s="19" t="s">
        <v>9</v>
      </c>
      <c r="AP24" s="20" t="s">
        <v>29</v>
      </c>
      <c r="AQ24" s="20" t="s">
        <v>30</v>
      </c>
      <c r="AR24" s="21" t="s">
        <v>14</v>
      </c>
      <c r="AS24" s="72">
        <f t="shared" si="5"/>
        <v>0</v>
      </c>
      <c r="AT24" s="72">
        <f t="shared" si="6"/>
        <v>0</v>
      </c>
      <c r="AU24" s="72">
        <f t="shared" si="7"/>
        <v>0</v>
      </c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</row>
    <row r="25" spans="1:58" ht="15.75" x14ac:dyDescent="0.25">
      <c r="A25" s="929"/>
      <c r="B25" s="53" t="str">
        <f t="shared" si="8"/>
        <v/>
      </c>
      <c r="C25" s="375">
        <f t="shared" si="9"/>
        <v>20</v>
      </c>
      <c r="D25" s="395"/>
      <c r="E25" s="396"/>
      <c r="F25" s="397"/>
      <c r="G25" s="409"/>
      <c r="H25" s="405">
        <f t="shared" si="0"/>
        <v>0</v>
      </c>
      <c r="I25" s="420">
        <f>IF($Q$1&gt;0,TGsh!E23*$M$4%+TGsh!F23*(1-$M$4%),0)</f>
        <v>0</v>
      </c>
      <c r="J25" s="412">
        <f t="shared" si="10"/>
        <v>0</v>
      </c>
      <c r="K25" s="298" t="str">
        <f>$K$11</f>
        <v xml:space="preserve">Sel Acum </v>
      </c>
      <c r="L25" s="290">
        <f>L22+L18</f>
        <v>0</v>
      </c>
      <c r="M25" s="431">
        <f>IF($M$3&gt;0,L25/$M$3,0)</f>
        <v>0</v>
      </c>
      <c r="N25" s="437">
        <f t="shared" ref="N25" si="31">N22+N18</f>
        <v>0</v>
      </c>
      <c r="O25" s="26"/>
      <c r="P25" s="32"/>
      <c r="Q25" s="32"/>
      <c r="R25" s="315">
        <f t="shared" si="11"/>
        <v>0</v>
      </c>
      <c r="S25" s="320"/>
      <c r="T25" s="32"/>
      <c r="U25" s="321"/>
      <c r="V25" s="35">
        <f t="shared" si="16"/>
        <v>0</v>
      </c>
      <c r="W25" s="306"/>
      <c r="X25" s="32"/>
      <c r="Y25" s="32"/>
      <c r="Z25" s="35">
        <f t="shared" si="17"/>
        <v>0</v>
      </c>
      <c r="AA25" s="367">
        <f t="shared" si="12"/>
        <v>0</v>
      </c>
      <c r="AB25" s="368">
        <f t="shared" si="1"/>
        <v>0</v>
      </c>
      <c r="AC25" s="369">
        <f t="shared" si="13"/>
        <v>0</v>
      </c>
      <c r="AD25" s="327">
        <f t="shared" si="2"/>
        <v>0</v>
      </c>
      <c r="AE25" s="328">
        <f t="shared" si="14"/>
        <v>0</v>
      </c>
      <c r="AF25" s="350">
        <f t="shared" si="3"/>
        <v>0</v>
      </c>
      <c r="AG25" s="29">
        <f t="shared" si="4"/>
        <v>0</v>
      </c>
      <c r="AH25" s="47">
        <f>IF($M$3&gt;0,TGsh!C23*$M$4%+TGsh!D23*(1-$M$4%),0)</f>
        <v>0</v>
      </c>
      <c r="AI25" s="892"/>
      <c r="AJ25" s="7" t="str">
        <f>$AJ$11</f>
        <v>Ef. Alim</v>
      </c>
      <c r="AK25" s="12">
        <f>IF(AK24&gt;0,AK22/AK24/10,0)</f>
        <v>0</v>
      </c>
      <c r="AL25" s="45">
        <f>IF(AL24&gt;0,AL22/AL24/10,0)</f>
        <v>0</v>
      </c>
      <c r="AM25" s="11" t="str">
        <f>IF(AK25&gt;0,(AK25-AL25)/AL25*100,"")</f>
        <v/>
      </c>
      <c r="AN25" s="50"/>
      <c r="AO25" s="14">
        <v>1</v>
      </c>
      <c r="AP25" s="3">
        <f>AK8</f>
        <v>0</v>
      </c>
      <c r="AQ25" s="3">
        <f>AL8</f>
        <v>0</v>
      </c>
      <c r="AR25" s="15" t="str">
        <f>AM8</f>
        <v/>
      </c>
      <c r="AS25" s="72">
        <f t="shared" si="5"/>
        <v>0</v>
      </c>
      <c r="AT25" s="72">
        <f t="shared" si="6"/>
        <v>0</v>
      </c>
      <c r="AU25" s="72">
        <f t="shared" si="7"/>
        <v>0</v>
      </c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</row>
    <row r="26" spans="1:58" ht="16.5" thickBot="1" x14ac:dyDescent="0.3">
      <c r="A26" s="930"/>
      <c r="B26" s="54" t="str">
        <f t="shared" si="8"/>
        <v/>
      </c>
      <c r="C26" s="376">
        <f t="shared" si="9"/>
        <v>21</v>
      </c>
      <c r="D26" s="400"/>
      <c r="E26" s="401"/>
      <c r="F26" s="402"/>
      <c r="G26" s="400"/>
      <c r="H26" s="406">
        <f t="shared" si="0"/>
        <v>0</v>
      </c>
      <c r="I26" s="419">
        <f>IF($Q$1&gt;0,TGsh!E24*$M$4%+TGsh!F24*(1-$M$4%),0)</f>
        <v>0</v>
      </c>
      <c r="J26" s="56">
        <f t="shared" si="10"/>
        <v>0</v>
      </c>
      <c r="K26" s="301" t="str">
        <f>$K$12</f>
        <v xml:space="preserve">Mort + Sel Acum </v>
      </c>
      <c r="L26" s="293">
        <f>L23+L19</f>
        <v>0</v>
      </c>
      <c r="M26" s="438">
        <f>IF($M$3&gt;0,L26/$M$3,0)</f>
        <v>0</v>
      </c>
      <c r="N26" s="439">
        <f t="shared" ref="N26" ca="1" si="32">SUM(N24:N25)</f>
        <v>0</v>
      </c>
      <c r="O26" s="27"/>
      <c r="P26" s="33"/>
      <c r="Q26" s="33"/>
      <c r="R26" s="316">
        <f t="shared" si="11"/>
        <v>0</v>
      </c>
      <c r="S26" s="322"/>
      <c r="T26" s="33"/>
      <c r="U26" s="323"/>
      <c r="V26" s="324">
        <f t="shared" si="16"/>
        <v>0</v>
      </c>
      <c r="W26" s="307"/>
      <c r="X26" s="33"/>
      <c r="Y26" s="33"/>
      <c r="Z26" s="36">
        <f t="shared" si="17"/>
        <v>0</v>
      </c>
      <c r="AA26" s="370">
        <f t="shared" si="12"/>
        <v>0</v>
      </c>
      <c r="AB26" s="371">
        <f t="shared" si="1"/>
        <v>0</v>
      </c>
      <c r="AC26" s="372">
        <f t="shared" si="13"/>
        <v>0</v>
      </c>
      <c r="AD26" s="351">
        <f t="shared" si="2"/>
        <v>0</v>
      </c>
      <c r="AE26" s="502">
        <f t="shared" si="14"/>
        <v>0</v>
      </c>
      <c r="AF26" s="352">
        <f t="shared" si="3"/>
        <v>0</v>
      </c>
      <c r="AG26" s="30">
        <f t="shared" si="4"/>
        <v>0</v>
      </c>
      <c r="AH26" s="48">
        <f>IF($M$3&gt;0,TGsh!C24*$M$4%+TGsh!D24*(1-$M$4%),0)</f>
        <v>0</v>
      </c>
      <c r="AI26" s="342">
        <f>IF('Liq-Zoot'!$F$31&gt;0,AK22/1000*J26/'Liq-Zoot'!$F$31,0)</f>
        <v>0</v>
      </c>
      <c r="AJ26" s="343" t="str">
        <f>$AJ$12</f>
        <v>Fact. IP</v>
      </c>
      <c r="AK26" s="344">
        <f>IF(AK24&gt;0,AK25/AK24,0)</f>
        <v>0</v>
      </c>
      <c r="AL26" s="345">
        <f>IF(AL24&gt;0,AL25/AL24,0)</f>
        <v>0</v>
      </c>
      <c r="AM26" s="346" t="str">
        <f>IF(AK26&gt;0,(AK26-AL26)/AL26*100,"")</f>
        <v/>
      </c>
      <c r="AN26" s="50"/>
      <c r="AO26" s="16">
        <f>AO25+1</f>
        <v>2</v>
      </c>
      <c r="AP26" s="8">
        <f>AK15</f>
        <v>0</v>
      </c>
      <c r="AQ26" s="8">
        <f>AL15</f>
        <v>0</v>
      </c>
      <c r="AR26" s="17" t="str">
        <f>AM15</f>
        <v/>
      </c>
      <c r="AS26" s="72">
        <f t="shared" si="5"/>
        <v>0</v>
      </c>
      <c r="AT26" s="72">
        <f t="shared" si="6"/>
        <v>0</v>
      </c>
      <c r="AU26" s="72">
        <f t="shared" si="7"/>
        <v>0</v>
      </c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</row>
    <row r="27" spans="1:58" ht="15.75" customHeight="1" x14ac:dyDescent="0.25">
      <c r="A27" s="928" t="s">
        <v>15</v>
      </c>
      <c r="B27" s="52" t="str">
        <f t="shared" si="8"/>
        <v/>
      </c>
      <c r="C27" s="374">
        <f t="shared" si="9"/>
        <v>22</v>
      </c>
      <c r="D27" s="392"/>
      <c r="E27" s="393"/>
      <c r="F27" s="394"/>
      <c r="G27" s="392"/>
      <c r="H27" s="403">
        <f t="shared" si="0"/>
        <v>0</v>
      </c>
      <c r="I27" s="418">
        <f>IF($Q$1&gt;0,TGsh!E25*$M$4%+TGsh!F25*(1-$M$4%),0)</f>
        <v>0</v>
      </c>
      <c r="J27" s="55">
        <f t="shared" si="10"/>
        <v>0</v>
      </c>
      <c r="K27" s="294" t="str">
        <f>$K$6</f>
        <v>Item</v>
      </c>
      <c r="L27" s="295" t="str">
        <f>$L$6</f>
        <v>#</v>
      </c>
      <c r="M27" s="295" t="str">
        <f>$M$6</f>
        <v>Real %</v>
      </c>
      <c r="N27" s="296" t="str">
        <f t="shared" ref="N27" si="33">$N$6</f>
        <v>Guia %</v>
      </c>
      <c r="O27" s="25"/>
      <c r="P27" s="31"/>
      <c r="Q27" s="31"/>
      <c r="R27" s="314">
        <f t="shared" si="11"/>
        <v>0</v>
      </c>
      <c r="S27" s="318"/>
      <c r="T27" s="31"/>
      <c r="U27" s="319"/>
      <c r="V27" s="34">
        <f t="shared" si="16"/>
        <v>0</v>
      </c>
      <c r="W27" s="305"/>
      <c r="X27" s="31"/>
      <c r="Y27" s="31"/>
      <c r="Z27" s="34">
        <f t="shared" si="17"/>
        <v>0</v>
      </c>
      <c r="AA27" s="364">
        <f t="shared" si="12"/>
        <v>0</v>
      </c>
      <c r="AB27" s="365">
        <f t="shared" si="1"/>
        <v>0</v>
      </c>
      <c r="AC27" s="366">
        <f t="shared" si="13"/>
        <v>0</v>
      </c>
      <c r="AD27" s="325">
        <f t="shared" si="2"/>
        <v>0</v>
      </c>
      <c r="AE27" s="326">
        <f t="shared" si="14"/>
        <v>0</v>
      </c>
      <c r="AF27" s="349">
        <f t="shared" si="3"/>
        <v>0</v>
      </c>
      <c r="AG27" s="28">
        <f t="shared" si="4"/>
        <v>0</v>
      </c>
      <c r="AH27" s="46">
        <f>IF($M$3&gt;0,TGsh!C25*$M$4%+TGsh!D25*(1-$M$4%),0)</f>
        <v>0</v>
      </c>
      <c r="AI27" s="347" t="str">
        <f>$AI$6</f>
        <v>Gr. Obten.</v>
      </c>
      <c r="AJ27" s="335" t="str">
        <f>$AJ$6</f>
        <v>Cons Sem</v>
      </c>
      <c r="AK27" s="3">
        <f>IF((J33+SUM(F27:F33))&gt;0,SUM(AD27:AD33)*40000/(J33+SUM(F27:F33)),0)</f>
        <v>0</v>
      </c>
      <c r="AL27" s="41">
        <f>SUMIF($AD27:$AD33,"&gt;0",AH27:AH33)</f>
        <v>0</v>
      </c>
      <c r="AM27" s="336" t="str">
        <f>IF(AK27&gt;0,(AK27-AL27)/AL27*100,"")</f>
        <v/>
      </c>
      <c r="AN27" s="50"/>
      <c r="AO27" s="16">
        <f t="shared" ref="AO27:AO32" si="34">AO26+1</f>
        <v>3</v>
      </c>
      <c r="AP27" s="8">
        <f>AK22</f>
        <v>0</v>
      </c>
      <c r="AQ27" s="8">
        <f>AL22</f>
        <v>0</v>
      </c>
      <c r="AR27" s="17" t="str">
        <f>AM22</f>
        <v/>
      </c>
      <c r="AS27" s="72">
        <f t="shared" si="5"/>
        <v>0</v>
      </c>
      <c r="AT27" s="72">
        <f t="shared" si="6"/>
        <v>0</v>
      </c>
      <c r="AU27" s="72">
        <f t="shared" si="7"/>
        <v>0</v>
      </c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</row>
    <row r="28" spans="1:58" ht="16.5" thickBot="1" x14ac:dyDescent="0.3">
      <c r="A28" s="929"/>
      <c r="B28" s="53" t="str">
        <f t="shared" si="8"/>
        <v/>
      </c>
      <c r="C28" s="375">
        <f t="shared" si="9"/>
        <v>23</v>
      </c>
      <c r="D28" s="395"/>
      <c r="E28" s="396"/>
      <c r="F28" s="397"/>
      <c r="G28" s="395"/>
      <c r="H28" s="404">
        <f t="shared" si="0"/>
        <v>0</v>
      </c>
      <c r="I28" s="421">
        <f>IF($Q$1&gt;0,TGsh!E26*$M$4%+TGsh!F26*(1-$M$4%),0)</f>
        <v>0</v>
      </c>
      <c r="J28" s="411">
        <f t="shared" si="10"/>
        <v>0</v>
      </c>
      <c r="K28" s="297" t="str">
        <f>$K$7</f>
        <v xml:space="preserve">Mort Sem </v>
      </c>
      <c r="L28" s="289">
        <f>SUM(D27:D33)</f>
        <v>0</v>
      </c>
      <c r="M28" s="429">
        <f>IF(J26&gt;0,L28/J26,0)</f>
        <v>0</v>
      </c>
      <c r="N28" s="430">
        <f ca="1">SUM(TGsh!G25:G31)</f>
        <v>0</v>
      </c>
      <c r="O28" s="26"/>
      <c r="P28" s="32"/>
      <c r="Q28" s="32"/>
      <c r="R28" s="315">
        <f t="shared" si="11"/>
        <v>0</v>
      </c>
      <c r="S28" s="320"/>
      <c r="T28" s="32"/>
      <c r="U28" s="321"/>
      <c r="V28" s="35">
        <f t="shared" si="16"/>
        <v>0</v>
      </c>
      <c r="W28" s="306"/>
      <c r="X28" s="306"/>
      <c r="Y28" s="306"/>
      <c r="Z28" s="35">
        <f t="shared" si="17"/>
        <v>0</v>
      </c>
      <c r="AA28" s="367">
        <f t="shared" si="12"/>
        <v>0</v>
      </c>
      <c r="AB28" s="368">
        <f t="shared" si="1"/>
        <v>0</v>
      </c>
      <c r="AC28" s="369">
        <f t="shared" si="13"/>
        <v>0</v>
      </c>
      <c r="AD28" s="327">
        <f t="shared" si="2"/>
        <v>0</v>
      </c>
      <c r="AE28" s="328">
        <f t="shared" si="14"/>
        <v>0</v>
      </c>
      <c r="AF28" s="350">
        <f t="shared" si="3"/>
        <v>0</v>
      </c>
      <c r="AG28" s="29">
        <f t="shared" si="4"/>
        <v>0</v>
      </c>
      <c r="AH28" s="47">
        <f>IF($M$3&gt;0,TGsh!C26*$M$4%+TGsh!D26*(1-$M$4%),0)</f>
        <v>0</v>
      </c>
      <c r="AI28" s="337">
        <f>IF(SUM(AD27:AD33)&gt;0,AVERAGEIF(AD27:AD33,"&gt;0",AG27:AG33),0)</f>
        <v>0</v>
      </c>
      <c r="AJ28" s="338" t="str">
        <f>$AJ$7</f>
        <v>Cons Acum</v>
      </c>
      <c r="AK28" s="339">
        <f>IF((J33+SUM(F$6:F33))&gt;0,SUM(AD$6:AD33)*40000/(J33+SUM(F$6:F33)),0)</f>
        <v>0</v>
      </c>
      <c r="AL28" s="340">
        <f>AL21+AL27</f>
        <v>0</v>
      </c>
      <c r="AM28" s="341" t="str">
        <f>IF(AK27&gt;0,(AK28-AL28)/AL28*100,"")</f>
        <v/>
      </c>
      <c r="AN28" s="50"/>
      <c r="AO28" s="16">
        <f t="shared" si="34"/>
        <v>4</v>
      </c>
      <c r="AP28" s="8">
        <f>AK29</f>
        <v>0</v>
      </c>
      <c r="AQ28" s="8">
        <f>AL29</f>
        <v>0</v>
      </c>
      <c r="AR28" s="17" t="str">
        <f>AM29</f>
        <v/>
      </c>
      <c r="AS28" s="72">
        <f t="shared" si="5"/>
        <v>0</v>
      </c>
      <c r="AT28" s="72">
        <f t="shared" si="6"/>
        <v>0</v>
      </c>
      <c r="AU28" s="72">
        <f t="shared" si="7"/>
        <v>0</v>
      </c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</row>
    <row r="29" spans="1:58" ht="16.5" thickBot="1" x14ac:dyDescent="0.3">
      <c r="A29" s="929"/>
      <c r="B29" s="53" t="str">
        <f t="shared" si="8"/>
        <v/>
      </c>
      <c r="C29" s="375">
        <f t="shared" si="9"/>
        <v>24</v>
      </c>
      <c r="D29" s="395"/>
      <c r="E29" s="396"/>
      <c r="F29" s="397"/>
      <c r="G29" s="395"/>
      <c r="H29" s="404">
        <f t="shared" si="0"/>
        <v>0</v>
      </c>
      <c r="I29" s="421">
        <f>IF($Q$1&gt;0,TGsh!E27*$M$4%+TGsh!F27*(1-$M$4%),0)</f>
        <v>0</v>
      </c>
      <c r="J29" s="411">
        <f t="shared" si="10"/>
        <v>0</v>
      </c>
      <c r="K29" s="298" t="str">
        <f>$K$8</f>
        <v xml:space="preserve">Sel Sem </v>
      </c>
      <c r="L29" s="290">
        <f>SUM(E27:E33)</f>
        <v>0</v>
      </c>
      <c r="M29" s="431">
        <f>IF(J26&gt;0,L29/J26,0)</f>
        <v>0</v>
      </c>
      <c r="N29" s="432">
        <v>0</v>
      </c>
      <c r="O29" s="26"/>
      <c r="P29" s="32"/>
      <c r="Q29" s="32"/>
      <c r="R29" s="315">
        <f t="shared" si="11"/>
        <v>0</v>
      </c>
      <c r="S29" s="320"/>
      <c r="T29" s="32"/>
      <c r="U29" s="321"/>
      <c r="V29" s="35">
        <f t="shared" si="16"/>
        <v>0</v>
      </c>
      <c r="W29" s="306"/>
      <c r="X29" s="306"/>
      <c r="Y29" s="306"/>
      <c r="Z29" s="35">
        <f t="shared" si="17"/>
        <v>0</v>
      </c>
      <c r="AA29" s="367">
        <f t="shared" si="12"/>
        <v>0</v>
      </c>
      <c r="AB29" s="368">
        <f t="shared" si="1"/>
        <v>0</v>
      </c>
      <c r="AC29" s="369">
        <f t="shared" si="13"/>
        <v>0</v>
      </c>
      <c r="AD29" s="327">
        <f t="shared" si="2"/>
        <v>0</v>
      </c>
      <c r="AE29" s="328">
        <f t="shared" si="14"/>
        <v>0</v>
      </c>
      <c r="AF29" s="350">
        <f t="shared" si="3"/>
        <v>0</v>
      </c>
      <c r="AG29" s="29">
        <f t="shared" si="4"/>
        <v>0</v>
      </c>
      <c r="AH29" s="47">
        <f>IF($M$3&gt;0,TGsh!C27*$M$4%+TGsh!D27*(1-$M$4%),0)</f>
        <v>0</v>
      </c>
      <c r="AI29" s="40" t="str">
        <f>$AI$8</f>
        <v>Gr. Guía</v>
      </c>
      <c r="AJ29" s="4" t="str">
        <f>$AJ$8</f>
        <v>Peso Sem</v>
      </c>
      <c r="AK29" s="332">
        <f>IF(SUM($F27:$F33)&gt;0,SUMPRODUCT($F27:$F33,H27:H33)/SUM($F27:$F33),0)</f>
        <v>0</v>
      </c>
      <c r="AL29" s="42">
        <f>IF($Q$1&gt;0,I33,0)</f>
        <v>0</v>
      </c>
      <c r="AM29" s="9" t="str">
        <f>IF(AK29&gt;0,(AK29-AL29)/AL29*100,"")</f>
        <v/>
      </c>
      <c r="AN29" s="50"/>
      <c r="AO29" s="16">
        <f t="shared" si="34"/>
        <v>5</v>
      </c>
      <c r="AP29" s="8">
        <f>AK36</f>
        <v>0</v>
      </c>
      <c r="AQ29" s="8">
        <f>AL36</f>
        <v>0</v>
      </c>
      <c r="AR29" s="17" t="str">
        <f>AM36</f>
        <v/>
      </c>
      <c r="AS29" s="72">
        <f t="shared" si="5"/>
        <v>0</v>
      </c>
      <c r="AT29" s="72">
        <f t="shared" si="6"/>
        <v>0</v>
      </c>
      <c r="AU29" s="72">
        <f t="shared" si="7"/>
        <v>0</v>
      </c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</row>
    <row r="30" spans="1:58" ht="15.75" x14ac:dyDescent="0.25">
      <c r="A30" s="929"/>
      <c r="B30" s="53" t="str">
        <f t="shared" si="8"/>
        <v/>
      </c>
      <c r="C30" s="375">
        <f t="shared" si="9"/>
        <v>25</v>
      </c>
      <c r="D30" s="395"/>
      <c r="E30" s="396"/>
      <c r="F30" s="397"/>
      <c r="G30" s="395"/>
      <c r="H30" s="404">
        <f t="shared" si="0"/>
        <v>0</v>
      </c>
      <c r="I30" s="421">
        <f>IF($Q$1&gt;0,TGsh!E28*$M$4%+TGsh!F28*(1-$M$4%),0)</f>
        <v>0</v>
      </c>
      <c r="J30" s="411">
        <f t="shared" si="10"/>
        <v>0</v>
      </c>
      <c r="K30" s="299" t="str">
        <f>$K$9</f>
        <v xml:space="preserve">Mort + Sel Sem </v>
      </c>
      <c r="L30" s="291">
        <f>SUM(L28:L29)</f>
        <v>0</v>
      </c>
      <c r="M30" s="433">
        <f>IF(J26&gt;0,L30/J26,0)</f>
        <v>0</v>
      </c>
      <c r="N30" s="434">
        <f t="shared" ref="N30" ca="1" si="35">SUM(N28:N29)</f>
        <v>0</v>
      </c>
      <c r="O30" s="26"/>
      <c r="P30" s="32"/>
      <c r="Q30" s="32"/>
      <c r="R30" s="315">
        <f t="shared" si="11"/>
        <v>0</v>
      </c>
      <c r="S30" s="320"/>
      <c r="T30" s="32"/>
      <c r="U30" s="321"/>
      <c r="V30" s="35">
        <f t="shared" si="16"/>
        <v>0</v>
      </c>
      <c r="W30" s="306"/>
      <c r="X30" s="306"/>
      <c r="Y30" s="306"/>
      <c r="Z30" s="35">
        <f t="shared" si="17"/>
        <v>0</v>
      </c>
      <c r="AA30" s="367">
        <f t="shared" si="12"/>
        <v>0</v>
      </c>
      <c r="AB30" s="368">
        <f t="shared" si="1"/>
        <v>0</v>
      </c>
      <c r="AC30" s="369">
        <f t="shared" si="13"/>
        <v>0</v>
      </c>
      <c r="AD30" s="327">
        <f t="shared" si="2"/>
        <v>0</v>
      </c>
      <c r="AE30" s="328">
        <f t="shared" si="14"/>
        <v>0</v>
      </c>
      <c r="AF30" s="350">
        <f t="shared" si="3"/>
        <v>0</v>
      </c>
      <c r="AG30" s="29">
        <f t="shared" si="4"/>
        <v>0</v>
      </c>
      <c r="AH30" s="47">
        <f>IF($M$3&gt;0,TGsh!C28*$M$4%+TGsh!D28*(1-$M$4%),0)</f>
        <v>0</v>
      </c>
      <c r="AI30" s="337">
        <f>IF(SUM(AD27:AD33)&gt;0,AVERAGEIF(AD27:AD33,"&gt;0",AH27:AH33),0)</f>
        <v>0</v>
      </c>
      <c r="AJ30" s="5" t="str">
        <f t="shared" ref="AJ30" si="36">AJ23</f>
        <v>Gan Dia</v>
      </c>
      <c r="AK30" s="6">
        <f>IF(AND(AK22&gt;0,AK29&gt;0),(AK29-AK22)/(COUNTIF(AD27:AD33,"&gt;0")),0)</f>
        <v>0</v>
      </c>
      <c r="AL30" s="43">
        <f>IF(AND(AL22&gt;0,AL29&gt;0,COUNTIF(AD27:AD33,"&gt;0")),(AL29-AL22)/COUNTIF(AD27:AD33,"&gt;0"),0)</f>
        <v>0</v>
      </c>
      <c r="AM30" s="10" t="str">
        <f>IF(AK30&gt;0,(AK30-AL30)/AL30*100,"")</f>
        <v/>
      </c>
      <c r="AN30" s="354"/>
      <c r="AO30" s="16">
        <f t="shared" si="34"/>
        <v>6</v>
      </c>
      <c r="AP30" s="8">
        <f>AK43</f>
        <v>0</v>
      </c>
      <c r="AQ30" s="8">
        <f>AL43</f>
        <v>0</v>
      </c>
      <c r="AR30" s="17" t="str">
        <f>AM43</f>
        <v/>
      </c>
      <c r="AS30" s="72">
        <f t="shared" si="5"/>
        <v>0</v>
      </c>
      <c r="AT30" s="72">
        <f t="shared" si="6"/>
        <v>0</v>
      </c>
      <c r="AU30" s="72">
        <f t="shared" si="7"/>
        <v>0</v>
      </c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</row>
    <row r="31" spans="1:58" ht="15.75" customHeight="1" x14ac:dyDescent="0.25">
      <c r="A31" s="929"/>
      <c r="B31" s="53" t="str">
        <f t="shared" si="8"/>
        <v/>
      </c>
      <c r="C31" s="375">
        <f t="shared" si="9"/>
        <v>26</v>
      </c>
      <c r="D31" s="395"/>
      <c r="E31" s="396"/>
      <c r="F31" s="397"/>
      <c r="G31" s="395"/>
      <c r="H31" s="404">
        <f t="shared" si="0"/>
        <v>0</v>
      </c>
      <c r="I31" s="421">
        <f>IF($Q$1&gt;0,TGsh!E29*$M$4%+TGsh!F29*(1-$M$4%),0)</f>
        <v>0</v>
      </c>
      <c r="J31" s="411">
        <f t="shared" si="10"/>
        <v>0</v>
      </c>
      <c r="K31" s="300" t="str">
        <f>$K$10</f>
        <v xml:space="preserve">Mort Acum </v>
      </c>
      <c r="L31" s="292">
        <f>L28+L24</f>
        <v>0</v>
      </c>
      <c r="M31" s="435">
        <f>IF($M$3&gt;0,L31/$M$3,0)</f>
        <v>0</v>
      </c>
      <c r="N31" s="436">
        <f ca="1">TGsh!H31</f>
        <v>0</v>
      </c>
      <c r="O31" s="26"/>
      <c r="P31" s="32"/>
      <c r="Q31" s="32"/>
      <c r="R31" s="315">
        <f t="shared" si="11"/>
        <v>0</v>
      </c>
      <c r="S31" s="320"/>
      <c r="T31" s="32"/>
      <c r="U31" s="321"/>
      <c r="V31" s="35">
        <f t="shared" si="16"/>
        <v>0</v>
      </c>
      <c r="W31" s="306"/>
      <c r="X31" s="306"/>
      <c r="Y31" s="306"/>
      <c r="Z31" s="35">
        <f t="shared" si="17"/>
        <v>0</v>
      </c>
      <c r="AA31" s="367">
        <f t="shared" si="12"/>
        <v>0</v>
      </c>
      <c r="AB31" s="368">
        <f t="shared" si="1"/>
        <v>0</v>
      </c>
      <c r="AC31" s="369">
        <f t="shared" si="13"/>
        <v>0</v>
      </c>
      <c r="AD31" s="327">
        <f t="shared" si="2"/>
        <v>0</v>
      </c>
      <c r="AE31" s="328">
        <f t="shared" si="14"/>
        <v>0</v>
      </c>
      <c r="AF31" s="350">
        <f t="shared" si="3"/>
        <v>0</v>
      </c>
      <c r="AG31" s="29">
        <f t="shared" si="4"/>
        <v>0</v>
      </c>
      <c r="AH31" s="47">
        <f>IF($M$3&gt;0,TGsh!C29*$M$4%+TGsh!D29*(1-$M$4%),0)</f>
        <v>0</v>
      </c>
      <c r="AI31" s="891" t="s">
        <v>46</v>
      </c>
      <c r="AJ31" s="7" t="str">
        <f>$AJ$10</f>
        <v>Conversión</v>
      </c>
      <c r="AK31" s="13">
        <f>IF(AK29&gt;0,AK28/AK29,0)</f>
        <v>0</v>
      </c>
      <c r="AL31" s="44">
        <f>IF(AL29&gt;0,AL28/AL29,0)</f>
        <v>0</v>
      </c>
      <c r="AM31" s="11" t="str">
        <f>IF(AK29&gt;0,-(AK31-AL31)/AL31*100,"")</f>
        <v/>
      </c>
      <c r="AN31" s="50"/>
      <c r="AO31" s="16">
        <f t="shared" si="34"/>
        <v>7</v>
      </c>
      <c r="AP31" s="8">
        <f>AK50</f>
        <v>0</v>
      </c>
      <c r="AQ31" s="8">
        <f>AL50</f>
        <v>0</v>
      </c>
      <c r="AR31" s="17" t="str">
        <f>AM50</f>
        <v/>
      </c>
      <c r="AS31" s="72">
        <f t="shared" si="5"/>
        <v>0</v>
      </c>
      <c r="AT31" s="72">
        <f t="shared" si="6"/>
        <v>0</v>
      </c>
      <c r="AU31" s="72">
        <f t="shared" si="7"/>
        <v>0</v>
      </c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</row>
    <row r="32" spans="1:58" ht="16.5" thickBot="1" x14ac:dyDescent="0.3">
      <c r="A32" s="929"/>
      <c r="B32" s="53" t="str">
        <f t="shared" si="8"/>
        <v/>
      </c>
      <c r="C32" s="375">
        <f t="shared" si="9"/>
        <v>27</v>
      </c>
      <c r="D32" s="395"/>
      <c r="E32" s="396"/>
      <c r="F32" s="397"/>
      <c r="G32" s="409"/>
      <c r="H32" s="405">
        <f t="shared" si="0"/>
        <v>0</v>
      </c>
      <c r="I32" s="420">
        <f>IF($Q$1&gt;0,TGsh!E30*$M$4%+TGsh!F30*(1-$M$4%),0)</f>
        <v>0</v>
      </c>
      <c r="J32" s="412">
        <f t="shared" si="10"/>
        <v>0</v>
      </c>
      <c r="K32" s="298" t="str">
        <f>$K$11</f>
        <v xml:space="preserve">Sel Acum </v>
      </c>
      <c r="L32" s="290">
        <f>L29+L25</f>
        <v>0</v>
      </c>
      <c r="M32" s="431">
        <f>IF($M$3&gt;0,L32/$M$3,0)</f>
        <v>0</v>
      </c>
      <c r="N32" s="437">
        <f t="shared" ref="N32" si="37">N29+N25</f>
        <v>0</v>
      </c>
      <c r="O32" s="26"/>
      <c r="P32" s="32"/>
      <c r="Q32" s="32"/>
      <c r="R32" s="315">
        <f t="shared" si="11"/>
        <v>0</v>
      </c>
      <c r="S32" s="320"/>
      <c r="T32" s="32"/>
      <c r="U32" s="321"/>
      <c r="V32" s="35">
        <f t="shared" si="16"/>
        <v>0</v>
      </c>
      <c r="W32" s="306"/>
      <c r="X32" s="306"/>
      <c r="Y32" s="306"/>
      <c r="Z32" s="35">
        <f t="shared" si="17"/>
        <v>0</v>
      </c>
      <c r="AA32" s="367">
        <f t="shared" si="12"/>
        <v>0</v>
      </c>
      <c r="AB32" s="368">
        <f t="shared" si="1"/>
        <v>0</v>
      </c>
      <c r="AC32" s="369">
        <f t="shared" si="13"/>
        <v>0</v>
      </c>
      <c r="AD32" s="327">
        <f t="shared" si="2"/>
        <v>0</v>
      </c>
      <c r="AE32" s="328">
        <f t="shared" si="14"/>
        <v>0</v>
      </c>
      <c r="AF32" s="350">
        <f t="shared" si="3"/>
        <v>0</v>
      </c>
      <c r="AG32" s="29">
        <f t="shared" si="4"/>
        <v>0</v>
      </c>
      <c r="AH32" s="47">
        <f>IF($M$3&gt;0,TGsh!C30*$M$4%+TGsh!D30*(1-$M$4%),0)</f>
        <v>0</v>
      </c>
      <c r="AI32" s="892"/>
      <c r="AJ32" s="7" t="str">
        <f>$AJ$11</f>
        <v>Ef. Alim</v>
      </c>
      <c r="AK32" s="12">
        <f>IF(AK31&gt;0,AK29/AK31/10,0)</f>
        <v>0</v>
      </c>
      <c r="AL32" s="45">
        <f>IF(AL31&gt;0,AL29/AL31/10,0)</f>
        <v>0</v>
      </c>
      <c r="AM32" s="11" t="str">
        <f>IF(AK32&gt;0,(AK32-AL32)/AL32*100,"")</f>
        <v/>
      </c>
      <c r="AN32" s="50"/>
      <c r="AO32" s="18">
        <f t="shared" si="34"/>
        <v>8</v>
      </c>
      <c r="AP32" s="22">
        <f>AK57</f>
        <v>0</v>
      </c>
      <c r="AQ32" s="22">
        <f t="shared" ref="AQ32:AR32" si="38">AL57</f>
        <v>0</v>
      </c>
      <c r="AR32" s="23" t="str">
        <f t="shared" si="38"/>
        <v/>
      </c>
      <c r="AS32" s="72">
        <f t="shared" si="5"/>
        <v>0</v>
      </c>
      <c r="AT32" s="72">
        <f t="shared" si="6"/>
        <v>0</v>
      </c>
      <c r="AU32" s="72">
        <f t="shared" si="7"/>
        <v>0</v>
      </c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</row>
    <row r="33" spans="1:58" ht="16.5" thickBot="1" x14ac:dyDescent="0.3">
      <c r="A33" s="930"/>
      <c r="B33" s="54" t="str">
        <f t="shared" si="8"/>
        <v/>
      </c>
      <c r="C33" s="376">
        <f t="shared" si="9"/>
        <v>28</v>
      </c>
      <c r="D33" s="400"/>
      <c r="E33" s="401"/>
      <c r="F33" s="402"/>
      <c r="G33" s="400"/>
      <c r="H33" s="406">
        <f t="shared" si="0"/>
        <v>0</v>
      </c>
      <c r="I33" s="419">
        <f>IF($Q$1&gt;0,TGsh!E31*$M$4%+TGsh!F31*(1-$M$4%),0)</f>
        <v>0</v>
      </c>
      <c r="J33" s="56">
        <f t="shared" si="10"/>
        <v>0</v>
      </c>
      <c r="K33" s="301" t="str">
        <f>$K$12</f>
        <v xml:space="preserve">Mort + Sel Acum </v>
      </c>
      <c r="L33" s="293">
        <f>L30+L26</f>
        <v>0</v>
      </c>
      <c r="M33" s="438">
        <f>IF($M$3&gt;0,L33/$M$3,0)</f>
        <v>0</v>
      </c>
      <c r="N33" s="439">
        <f t="shared" ref="N33" ca="1" si="39">SUM(N31:N32)</f>
        <v>0</v>
      </c>
      <c r="O33" s="27"/>
      <c r="P33" s="33"/>
      <c r="Q33" s="33"/>
      <c r="R33" s="316">
        <f t="shared" si="11"/>
        <v>0</v>
      </c>
      <c r="S33" s="322"/>
      <c r="T33" s="33"/>
      <c r="U33" s="323"/>
      <c r="V33" s="324">
        <f t="shared" si="16"/>
        <v>0</v>
      </c>
      <c r="W33" s="307"/>
      <c r="X33" s="307"/>
      <c r="Y33" s="307"/>
      <c r="Z33" s="36">
        <f t="shared" si="17"/>
        <v>0</v>
      </c>
      <c r="AA33" s="370">
        <f t="shared" si="12"/>
        <v>0</v>
      </c>
      <c r="AB33" s="371">
        <f t="shared" si="1"/>
        <v>0</v>
      </c>
      <c r="AC33" s="372">
        <f t="shared" si="13"/>
        <v>0</v>
      </c>
      <c r="AD33" s="351">
        <f t="shared" si="2"/>
        <v>0</v>
      </c>
      <c r="AE33" s="502">
        <f t="shared" si="14"/>
        <v>0</v>
      </c>
      <c r="AF33" s="352">
        <f t="shared" si="3"/>
        <v>0</v>
      </c>
      <c r="AG33" s="30">
        <f t="shared" si="4"/>
        <v>0</v>
      </c>
      <c r="AH33" s="48">
        <f>IF($M$3&gt;0,TGsh!C31*$M$4%+TGsh!D31*(1-$M$4%),0)</f>
        <v>0</v>
      </c>
      <c r="AI33" s="342">
        <f>IF('Liq-Zoot'!$F$31&gt;0,AK29/1000*J33/'Liq-Zoot'!$F$31,0)</f>
        <v>0</v>
      </c>
      <c r="AJ33" s="343" t="str">
        <f>$AJ$12</f>
        <v>Fact. IP</v>
      </c>
      <c r="AK33" s="344">
        <f>IF(AK31&gt;0,AK32/AK31,0)</f>
        <v>0</v>
      </c>
      <c r="AL33" s="345">
        <f>IF(AL31&gt;0,AL32/AL31,0)</f>
        <v>0</v>
      </c>
      <c r="AM33" s="346" t="str">
        <f>IF(AK33&gt;0,(AK33-AL33)/AL33*100,"")</f>
        <v/>
      </c>
      <c r="AN33" s="50"/>
      <c r="AO33" s="19" t="s">
        <v>9</v>
      </c>
      <c r="AP33" s="20" t="s">
        <v>32</v>
      </c>
      <c r="AQ33" s="20" t="s">
        <v>33</v>
      </c>
      <c r="AR33" s="21" t="s">
        <v>14</v>
      </c>
      <c r="AS33" s="72">
        <f t="shared" si="5"/>
        <v>0</v>
      </c>
      <c r="AT33" s="72">
        <f t="shared" si="6"/>
        <v>0</v>
      </c>
      <c r="AU33" s="72">
        <f t="shared" si="7"/>
        <v>0</v>
      </c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</row>
    <row r="34" spans="1:58" ht="15.75" customHeight="1" x14ac:dyDescent="0.25">
      <c r="A34" s="928" t="s">
        <v>19</v>
      </c>
      <c r="B34" s="52" t="str">
        <f t="shared" si="8"/>
        <v/>
      </c>
      <c r="C34" s="374">
        <f t="shared" si="9"/>
        <v>29</v>
      </c>
      <c r="D34" s="392"/>
      <c r="E34" s="393"/>
      <c r="F34" s="394"/>
      <c r="G34" s="392"/>
      <c r="H34" s="403">
        <f t="shared" si="0"/>
        <v>0</v>
      </c>
      <c r="I34" s="418">
        <f>IF($Q$1&gt;0,TGsh!E32*$M$4%+TGsh!F32*(1-$M$4%),0)</f>
        <v>0</v>
      </c>
      <c r="J34" s="55">
        <f t="shared" si="10"/>
        <v>0</v>
      </c>
      <c r="K34" s="294" t="str">
        <f>$K$6</f>
        <v>Item</v>
      </c>
      <c r="L34" s="295" t="str">
        <f>$L$6</f>
        <v>#</v>
      </c>
      <c r="M34" s="295" t="str">
        <f>$M$6</f>
        <v>Real %</v>
      </c>
      <c r="N34" s="296" t="str">
        <f t="shared" ref="N34" si="40">$N$6</f>
        <v>Guia %</v>
      </c>
      <c r="O34" s="25"/>
      <c r="P34" s="31"/>
      <c r="Q34" s="31"/>
      <c r="R34" s="314">
        <f t="shared" si="11"/>
        <v>0</v>
      </c>
      <c r="S34" s="318"/>
      <c r="T34" s="31"/>
      <c r="U34" s="319"/>
      <c r="V34" s="34">
        <f t="shared" si="16"/>
        <v>0</v>
      </c>
      <c r="W34" s="305"/>
      <c r="X34" s="305"/>
      <c r="Y34" s="305"/>
      <c r="Z34" s="34">
        <f t="shared" si="17"/>
        <v>0</v>
      </c>
      <c r="AA34" s="364">
        <f t="shared" si="12"/>
        <v>0</v>
      </c>
      <c r="AB34" s="365">
        <f t="shared" si="1"/>
        <v>0</v>
      </c>
      <c r="AC34" s="366">
        <f t="shared" si="13"/>
        <v>0</v>
      </c>
      <c r="AD34" s="325">
        <f t="shared" si="2"/>
        <v>0</v>
      </c>
      <c r="AE34" s="326">
        <f t="shared" si="14"/>
        <v>0</v>
      </c>
      <c r="AF34" s="349">
        <f t="shared" si="3"/>
        <v>0</v>
      </c>
      <c r="AG34" s="28">
        <f t="shared" si="4"/>
        <v>0</v>
      </c>
      <c r="AH34" s="46">
        <f>IF($M$3&gt;0,TGsh!C32*$M$4%+TGsh!D32*(1-$M$4%),0)</f>
        <v>0</v>
      </c>
      <c r="AI34" s="347" t="str">
        <f>$AI$6</f>
        <v>Gr. Obten.</v>
      </c>
      <c r="AJ34" s="335" t="str">
        <f>$AJ$6</f>
        <v>Cons Sem</v>
      </c>
      <c r="AK34" s="3">
        <f>IF((J40+SUM(F34:F40))&gt;0,SUM(AD34:AD40)*40000/(J40+SUM(F34:F40)),0)</f>
        <v>0</v>
      </c>
      <c r="AL34" s="41">
        <f>SUMIF($AD34:$AD40,"&gt;0",AH34:AH40)</f>
        <v>0</v>
      </c>
      <c r="AM34" s="336" t="str">
        <f>IF(AK34&gt;0,(AK34-AL34)/AL34*100,"")</f>
        <v/>
      </c>
      <c r="AN34" s="50"/>
      <c r="AO34" s="14">
        <v>1</v>
      </c>
      <c r="AP34" s="3">
        <f>AK11</f>
        <v>0</v>
      </c>
      <c r="AQ34" s="3">
        <f t="shared" ref="AQ34:AR34" si="41">AL11</f>
        <v>0</v>
      </c>
      <c r="AR34" s="15" t="str">
        <f t="shared" si="41"/>
        <v/>
      </c>
      <c r="AS34" s="72">
        <f t="shared" si="5"/>
        <v>0</v>
      </c>
      <c r="AT34" s="72">
        <f t="shared" si="6"/>
        <v>0</v>
      </c>
      <c r="AU34" s="72">
        <f t="shared" si="7"/>
        <v>0</v>
      </c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</row>
    <row r="35" spans="1:58" ht="16.5" thickBot="1" x14ac:dyDescent="0.3">
      <c r="A35" s="929"/>
      <c r="B35" s="53" t="str">
        <f t="shared" si="8"/>
        <v/>
      </c>
      <c r="C35" s="375">
        <f t="shared" si="9"/>
        <v>30</v>
      </c>
      <c r="D35" s="395"/>
      <c r="E35" s="396"/>
      <c r="F35" s="397"/>
      <c r="G35" s="395"/>
      <c r="H35" s="404">
        <f t="shared" si="0"/>
        <v>0</v>
      </c>
      <c r="I35" s="421">
        <f>IF($Q$1&gt;0,TGsh!E33*$M$4%+TGsh!F33*(1-$M$4%),0)</f>
        <v>0</v>
      </c>
      <c r="J35" s="411">
        <f t="shared" si="10"/>
        <v>0</v>
      </c>
      <c r="K35" s="297" t="str">
        <f>$K$7</f>
        <v xml:space="preserve">Mort Sem </v>
      </c>
      <c r="L35" s="289">
        <f>SUM(D34:D40)</f>
        <v>0</v>
      </c>
      <c r="M35" s="429">
        <f>IF(J33&gt;0,L35/J33,0)</f>
        <v>0</v>
      </c>
      <c r="N35" s="430">
        <f ca="1">SUM(TGsh!G32:G38)</f>
        <v>0</v>
      </c>
      <c r="O35" s="26"/>
      <c r="P35" s="32"/>
      <c r="Q35" s="32"/>
      <c r="R35" s="315">
        <f t="shared" si="11"/>
        <v>0</v>
      </c>
      <c r="S35" s="320"/>
      <c r="T35" s="32"/>
      <c r="U35" s="321"/>
      <c r="V35" s="35">
        <f t="shared" si="16"/>
        <v>0</v>
      </c>
      <c r="W35" s="306"/>
      <c r="X35" s="306"/>
      <c r="Y35" s="306"/>
      <c r="Z35" s="35">
        <f t="shared" si="17"/>
        <v>0</v>
      </c>
      <c r="AA35" s="367">
        <f t="shared" si="12"/>
        <v>0</v>
      </c>
      <c r="AB35" s="368">
        <f t="shared" si="1"/>
        <v>0</v>
      </c>
      <c r="AC35" s="369">
        <f t="shared" si="13"/>
        <v>0</v>
      </c>
      <c r="AD35" s="327">
        <f t="shared" si="2"/>
        <v>0</v>
      </c>
      <c r="AE35" s="328">
        <f t="shared" si="14"/>
        <v>0</v>
      </c>
      <c r="AF35" s="350">
        <f t="shared" si="3"/>
        <v>0</v>
      </c>
      <c r="AG35" s="29">
        <f t="shared" si="4"/>
        <v>0</v>
      </c>
      <c r="AH35" s="47">
        <f>IF($M$3&gt;0,TGsh!C33*$M$4%+TGsh!D33*(1-$M$4%),0)</f>
        <v>0</v>
      </c>
      <c r="AI35" s="337">
        <f>IF(SUM(AD34:AD40)&gt;0,AVERAGEIF(AD34:AD40,"&gt;0",AG34:AG40),0)</f>
        <v>0</v>
      </c>
      <c r="AJ35" s="338" t="str">
        <f>$AJ$7</f>
        <v>Cons Acum</v>
      </c>
      <c r="AK35" s="339">
        <f>IF((J40+SUM(F$6:F40))&gt;0,SUM(AD$6:AD40)*40000/(J40+SUM(F$6:F40)),0)</f>
        <v>0</v>
      </c>
      <c r="AL35" s="340">
        <f>AL28+AL34</f>
        <v>0</v>
      </c>
      <c r="AM35" s="341" t="str">
        <f>IF(AK34&gt;0,(AK35-AL35)/AL35*100,"")</f>
        <v/>
      </c>
      <c r="AN35" s="50"/>
      <c r="AO35" s="16">
        <f>AO34+1</f>
        <v>2</v>
      </c>
      <c r="AP35" s="8">
        <f>AK18</f>
        <v>0</v>
      </c>
      <c r="AQ35" s="8">
        <f t="shared" ref="AQ35:AR35" si="42">AL18</f>
        <v>0</v>
      </c>
      <c r="AR35" s="17" t="str">
        <f t="shared" si="42"/>
        <v/>
      </c>
      <c r="AS35" s="72">
        <f t="shared" si="5"/>
        <v>0</v>
      </c>
      <c r="AT35" s="72">
        <f t="shared" si="6"/>
        <v>0</v>
      </c>
      <c r="AU35" s="72">
        <f t="shared" si="7"/>
        <v>0</v>
      </c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</row>
    <row r="36" spans="1:58" ht="16.5" thickBot="1" x14ac:dyDescent="0.3">
      <c r="A36" s="929"/>
      <c r="B36" s="53" t="str">
        <f t="shared" si="8"/>
        <v/>
      </c>
      <c r="C36" s="375">
        <f t="shared" si="9"/>
        <v>31</v>
      </c>
      <c r="D36" s="395"/>
      <c r="E36" s="396"/>
      <c r="F36" s="397"/>
      <c r="G36" s="395"/>
      <c r="H36" s="404">
        <f t="shared" si="0"/>
        <v>0</v>
      </c>
      <c r="I36" s="421">
        <f>IF($Q$1&gt;0,TGsh!E34*$M$4%+TGsh!F34*(1-$M$4%),0)</f>
        <v>0</v>
      </c>
      <c r="J36" s="411">
        <f t="shared" si="10"/>
        <v>0</v>
      </c>
      <c r="K36" s="298" t="str">
        <f>$K$8</f>
        <v xml:space="preserve">Sel Sem </v>
      </c>
      <c r="L36" s="290">
        <f>SUM(E34:E40)</f>
        <v>0</v>
      </c>
      <c r="M36" s="431">
        <f>IF(J33&gt;0,L36/J33,0)</f>
        <v>0</v>
      </c>
      <c r="N36" s="432">
        <v>0</v>
      </c>
      <c r="O36" s="26"/>
      <c r="P36" s="32"/>
      <c r="Q36" s="32"/>
      <c r="R36" s="315">
        <f t="shared" si="11"/>
        <v>0</v>
      </c>
      <c r="S36" s="320"/>
      <c r="T36" s="32"/>
      <c r="U36" s="321"/>
      <c r="V36" s="35">
        <f t="shared" si="16"/>
        <v>0</v>
      </c>
      <c r="W36" s="306"/>
      <c r="X36" s="306"/>
      <c r="Y36" s="306"/>
      <c r="Z36" s="35">
        <f t="shared" si="17"/>
        <v>0</v>
      </c>
      <c r="AA36" s="367">
        <f t="shared" si="12"/>
        <v>0</v>
      </c>
      <c r="AB36" s="368">
        <f t="shared" si="1"/>
        <v>0</v>
      </c>
      <c r="AC36" s="369">
        <f t="shared" si="13"/>
        <v>0</v>
      </c>
      <c r="AD36" s="327">
        <f t="shared" si="2"/>
        <v>0</v>
      </c>
      <c r="AE36" s="328">
        <f t="shared" si="14"/>
        <v>0</v>
      </c>
      <c r="AF36" s="350">
        <f t="shared" si="3"/>
        <v>0</v>
      </c>
      <c r="AG36" s="29">
        <f t="shared" si="4"/>
        <v>0</v>
      </c>
      <c r="AH36" s="47">
        <f>IF($M$3&gt;0,TGsh!C34*$M$4%+TGsh!D34*(1-$M$4%),0)</f>
        <v>0</v>
      </c>
      <c r="AI36" s="40" t="str">
        <f>$AI$8</f>
        <v>Gr. Guía</v>
      </c>
      <c r="AJ36" s="4" t="str">
        <f>$AJ$8</f>
        <v>Peso Sem</v>
      </c>
      <c r="AK36" s="332">
        <f>IF(SUM($F34:$F40)&gt;0,SUMPRODUCT($F34:$F40,H34:H40)/SUM($F34:$F40),0)</f>
        <v>0</v>
      </c>
      <c r="AL36" s="42">
        <f>IF($Q$1&gt;0,I40,0)</f>
        <v>0</v>
      </c>
      <c r="AM36" s="9" t="str">
        <f>IF(AK36&gt;0,(AK36-AL36)/AL36*100,"")</f>
        <v/>
      </c>
      <c r="AN36" s="50"/>
      <c r="AO36" s="16">
        <f t="shared" ref="AO36:AO41" si="43">AO35+1</f>
        <v>3</v>
      </c>
      <c r="AP36" s="8">
        <f>AK25</f>
        <v>0</v>
      </c>
      <c r="AQ36" s="8">
        <f t="shared" ref="AQ36:AR36" si="44">AL25</f>
        <v>0</v>
      </c>
      <c r="AR36" s="17" t="str">
        <f t="shared" si="44"/>
        <v/>
      </c>
      <c r="AS36" s="72">
        <f t="shared" si="5"/>
        <v>0</v>
      </c>
      <c r="AT36" s="72">
        <f t="shared" si="6"/>
        <v>0</v>
      </c>
      <c r="AU36" s="72">
        <f t="shared" si="7"/>
        <v>0</v>
      </c>
      <c r="AV36" s="50"/>
      <c r="AW36" s="50"/>
      <c r="AX36" s="50"/>
      <c r="AY36" s="50"/>
      <c r="AZ36" s="19" t="s">
        <v>9</v>
      </c>
      <c r="BA36" s="20" t="s">
        <v>47</v>
      </c>
      <c r="BB36" s="20" t="s">
        <v>48</v>
      </c>
      <c r="BC36" s="21" t="s">
        <v>14</v>
      </c>
      <c r="BD36" s="50"/>
      <c r="BE36" s="50"/>
      <c r="BF36" s="50"/>
    </row>
    <row r="37" spans="1:58" ht="15.75" x14ac:dyDescent="0.25">
      <c r="A37" s="929"/>
      <c r="B37" s="53" t="str">
        <f t="shared" si="8"/>
        <v/>
      </c>
      <c r="C37" s="375">
        <f t="shared" si="9"/>
        <v>32</v>
      </c>
      <c r="D37" s="395"/>
      <c r="E37" s="396"/>
      <c r="F37" s="397"/>
      <c r="G37" s="395"/>
      <c r="H37" s="404">
        <f t="shared" si="0"/>
        <v>0</v>
      </c>
      <c r="I37" s="421">
        <f>IF($Q$1&gt;0,TGsh!E35*$M$4%+TGsh!F35*(1-$M$4%),0)</f>
        <v>0</v>
      </c>
      <c r="J37" s="411">
        <f t="shared" si="10"/>
        <v>0</v>
      </c>
      <c r="K37" s="299" t="str">
        <f>$K$9</f>
        <v xml:space="preserve">Mort + Sel Sem </v>
      </c>
      <c r="L37" s="291">
        <f>SUM(L35:L36)</f>
        <v>0</v>
      </c>
      <c r="M37" s="433">
        <f>IF(J33&gt;0,L37/J33,0)</f>
        <v>0</v>
      </c>
      <c r="N37" s="434">
        <f t="shared" ref="N37" ca="1" si="45">SUM(N35:N36)</f>
        <v>0</v>
      </c>
      <c r="O37" s="26"/>
      <c r="P37" s="32"/>
      <c r="Q37" s="32"/>
      <c r="R37" s="315">
        <f t="shared" si="11"/>
        <v>0</v>
      </c>
      <c r="S37" s="320"/>
      <c r="T37" s="32"/>
      <c r="U37" s="321"/>
      <c r="V37" s="35">
        <f t="shared" si="16"/>
        <v>0</v>
      </c>
      <c r="W37" s="306"/>
      <c r="X37" s="306"/>
      <c r="Y37" s="306"/>
      <c r="Z37" s="35">
        <f t="shared" si="17"/>
        <v>0</v>
      </c>
      <c r="AA37" s="367">
        <f t="shared" si="12"/>
        <v>0</v>
      </c>
      <c r="AB37" s="368">
        <f t="shared" si="1"/>
        <v>0</v>
      </c>
      <c r="AC37" s="369">
        <f t="shared" si="13"/>
        <v>0</v>
      </c>
      <c r="AD37" s="327">
        <f t="shared" si="2"/>
        <v>0</v>
      </c>
      <c r="AE37" s="328">
        <f t="shared" si="14"/>
        <v>0</v>
      </c>
      <c r="AF37" s="350">
        <f t="shared" si="3"/>
        <v>0</v>
      </c>
      <c r="AG37" s="29">
        <f t="shared" si="4"/>
        <v>0</v>
      </c>
      <c r="AH37" s="47">
        <f>IF($M$3&gt;0,TGsh!C35*$M$4%+TGsh!D35*(1-$M$4%),0)</f>
        <v>0</v>
      </c>
      <c r="AI37" s="337">
        <f>IF(SUM(AD34:AD40)&gt;0,AVERAGEIF(AD34:AD40,"&gt;0",AH34:AH40),0)</f>
        <v>0</v>
      </c>
      <c r="AJ37" s="5" t="str">
        <f t="shared" ref="AJ37" si="46">AJ30</f>
        <v>Gan Dia</v>
      </c>
      <c r="AK37" s="6">
        <f>IF(AND(AK29&gt;0,AK36&gt;0),(AK36-AK29)/(COUNTIF(AD34:AD40,"&gt;0")),0)</f>
        <v>0</v>
      </c>
      <c r="AL37" s="43">
        <f>IF(AND(AL29&gt;0,AL36&gt;0,COUNTIF(AD34:AD40,"&gt;0")),(AL36-AL29)/COUNTIF(AD34:AD40,"&gt;0"),0)</f>
        <v>0</v>
      </c>
      <c r="AM37" s="10" t="str">
        <f>IF(AK37&gt;0,(AK37-AL37)/AL37*100,"")</f>
        <v/>
      </c>
      <c r="AN37" s="354"/>
      <c r="AO37" s="16">
        <f t="shared" si="43"/>
        <v>4</v>
      </c>
      <c r="AP37" s="8">
        <f>AK32</f>
        <v>0</v>
      </c>
      <c r="AQ37" s="8">
        <f t="shared" ref="AQ37:AR37" si="47">AL32</f>
        <v>0</v>
      </c>
      <c r="AR37" s="17" t="str">
        <f t="shared" si="47"/>
        <v/>
      </c>
      <c r="AS37" s="72">
        <f t="shared" si="5"/>
        <v>0</v>
      </c>
      <c r="AT37" s="72">
        <f t="shared" si="6"/>
        <v>0</v>
      </c>
      <c r="AU37" s="72">
        <f t="shared" si="7"/>
        <v>0</v>
      </c>
      <c r="AV37" s="50"/>
      <c r="AW37" s="50"/>
      <c r="AX37" s="50"/>
      <c r="AY37" s="50"/>
      <c r="AZ37" s="14">
        <v>1</v>
      </c>
      <c r="BA37" s="3">
        <f>AI12</f>
        <v>0</v>
      </c>
      <c r="BB37" s="3">
        <f>IF('Liq-Zoot'!$E$31&gt;0,AL8/1000*J12/'Liq-Zoot'!$E$31,0)</f>
        <v>0</v>
      </c>
      <c r="BC37" s="15" t="str">
        <f>IF(BA37&gt;0,(BA37-BB37)/BB37*100,"")</f>
        <v/>
      </c>
      <c r="BD37" s="50"/>
      <c r="BE37" s="50"/>
      <c r="BF37" s="50"/>
    </row>
    <row r="38" spans="1:58" ht="15.75" customHeight="1" x14ac:dyDescent="0.25">
      <c r="A38" s="929"/>
      <c r="B38" s="53" t="str">
        <f t="shared" si="8"/>
        <v/>
      </c>
      <c r="C38" s="375">
        <f t="shared" si="9"/>
        <v>33</v>
      </c>
      <c r="D38" s="395"/>
      <c r="E38" s="396"/>
      <c r="F38" s="397"/>
      <c r="G38" s="395"/>
      <c r="H38" s="404">
        <f t="shared" si="0"/>
        <v>0</v>
      </c>
      <c r="I38" s="421">
        <f>IF($Q$1&gt;0,TGsh!E36*$M$4%+TGsh!F36*(1-$M$4%),0)</f>
        <v>0</v>
      </c>
      <c r="J38" s="411">
        <f t="shared" si="10"/>
        <v>0</v>
      </c>
      <c r="K38" s="300" t="str">
        <f>$K$10</f>
        <v xml:space="preserve">Mort Acum </v>
      </c>
      <c r="L38" s="292">
        <f>L35+L31</f>
        <v>0</v>
      </c>
      <c r="M38" s="435">
        <f>IF($M$3&gt;0,L38/$M$3,0)</f>
        <v>0</v>
      </c>
      <c r="N38" s="436">
        <f ca="1">TGsh!H38</f>
        <v>0</v>
      </c>
      <c r="O38" s="26"/>
      <c r="P38" s="32"/>
      <c r="Q38" s="32"/>
      <c r="R38" s="315">
        <f t="shared" si="11"/>
        <v>0</v>
      </c>
      <c r="S38" s="320"/>
      <c r="T38" s="32"/>
      <c r="U38" s="321"/>
      <c r="V38" s="35">
        <f t="shared" si="16"/>
        <v>0</v>
      </c>
      <c r="W38" s="306"/>
      <c r="X38" s="306"/>
      <c r="Y38" s="306"/>
      <c r="Z38" s="35">
        <f t="shared" si="17"/>
        <v>0</v>
      </c>
      <c r="AA38" s="367">
        <f t="shared" si="12"/>
        <v>0</v>
      </c>
      <c r="AB38" s="368">
        <f t="shared" si="1"/>
        <v>0</v>
      </c>
      <c r="AC38" s="369">
        <f t="shared" si="13"/>
        <v>0</v>
      </c>
      <c r="AD38" s="327">
        <f t="shared" si="2"/>
        <v>0</v>
      </c>
      <c r="AE38" s="328">
        <f t="shared" si="14"/>
        <v>0</v>
      </c>
      <c r="AF38" s="350">
        <f t="shared" ref="AF38:AF61" si="48">MROUND(AH38*SUM(D38:F38,J38)/40000,0.1)</f>
        <v>0</v>
      </c>
      <c r="AG38" s="29">
        <f t="shared" si="4"/>
        <v>0</v>
      </c>
      <c r="AH38" s="47">
        <f>IF($M$3&gt;0,TGsh!C36*$M$4%+TGsh!D36*(1-$M$4%),0)</f>
        <v>0</v>
      </c>
      <c r="AI38" s="891" t="s">
        <v>46</v>
      </c>
      <c r="AJ38" s="7" t="str">
        <f>$AJ$10</f>
        <v>Conversión</v>
      </c>
      <c r="AK38" s="13">
        <f>IF(AK36&gt;0,AK35/AK36,0)</f>
        <v>0</v>
      </c>
      <c r="AL38" s="44">
        <f>IF(AL36&gt;0,AL35/AL36,0)</f>
        <v>0</v>
      </c>
      <c r="AM38" s="11" t="str">
        <f>IF(AK36&gt;0,-(AK38-AL38)/AL38*100,"")</f>
        <v/>
      </c>
      <c r="AN38" s="50"/>
      <c r="AO38" s="16">
        <f t="shared" si="43"/>
        <v>5</v>
      </c>
      <c r="AP38" s="8">
        <f>AK39</f>
        <v>0</v>
      </c>
      <c r="AQ38" s="8">
        <f t="shared" ref="AQ38:AR38" si="49">AL39</f>
        <v>0</v>
      </c>
      <c r="AR38" s="17" t="str">
        <f t="shared" si="49"/>
        <v/>
      </c>
      <c r="AS38" s="72">
        <f t="shared" si="5"/>
        <v>0</v>
      </c>
      <c r="AT38" s="72">
        <f t="shared" si="6"/>
        <v>0</v>
      </c>
      <c r="AU38" s="72">
        <f t="shared" si="7"/>
        <v>0</v>
      </c>
      <c r="AV38" s="50"/>
      <c r="AW38" s="50"/>
      <c r="AX38" s="50"/>
      <c r="AY38" s="50"/>
      <c r="AZ38" s="16">
        <f>AZ37+1</f>
        <v>2</v>
      </c>
      <c r="BA38" s="8">
        <f>AI19</f>
        <v>0</v>
      </c>
      <c r="BB38" s="8">
        <f>IF('Liq-Zoot'!$E$31&gt;0,AL15/1000*J19/'Liq-Zoot'!$E$31,0)</f>
        <v>0</v>
      </c>
      <c r="BC38" s="17" t="str">
        <f t="shared" ref="BC38:BC44" si="50">IF(BA38&gt;0,(BA38-BB38)/BB38*100,"")</f>
        <v/>
      </c>
      <c r="BD38" s="50"/>
      <c r="BE38" s="50"/>
      <c r="BF38" s="50"/>
    </row>
    <row r="39" spans="1:58" ht="15.75" x14ac:dyDescent="0.25">
      <c r="A39" s="929"/>
      <c r="B39" s="53" t="str">
        <f t="shared" si="8"/>
        <v/>
      </c>
      <c r="C39" s="375">
        <f t="shared" si="9"/>
        <v>34</v>
      </c>
      <c r="D39" s="395"/>
      <c r="E39" s="396"/>
      <c r="F39" s="397"/>
      <c r="G39" s="409"/>
      <c r="H39" s="405">
        <f t="shared" si="0"/>
        <v>0</v>
      </c>
      <c r="I39" s="420">
        <f>IF($Q$1&gt;0,TGsh!E37*$M$4%+TGsh!F37*(1-$M$4%),0)</f>
        <v>0</v>
      </c>
      <c r="J39" s="412">
        <f t="shared" si="10"/>
        <v>0</v>
      </c>
      <c r="K39" s="298" t="str">
        <f>$K$11</f>
        <v xml:space="preserve">Sel Acum </v>
      </c>
      <c r="L39" s="290">
        <f>L36+L32</f>
        <v>0</v>
      </c>
      <c r="M39" s="431">
        <f>IF($M$3&gt;0,L39/$M$3,0)</f>
        <v>0</v>
      </c>
      <c r="N39" s="437">
        <f t="shared" ref="N39" si="51">N36+N32</f>
        <v>0</v>
      </c>
      <c r="O39" s="26"/>
      <c r="P39" s="32"/>
      <c r="Q39" s="32"/>
      <c r="R39" s="315">
        <f t="shared" si="11"/>
        <v>0</v>
      </c>
      <c r="S39" s="320"/>
      <c r="T39" s="32"/>
      <c r="U39" s="321"/>
      <c r="V39" s="35">
        <f t="shared" si="16"/>
        <v>0</v>
      </c>
      <c r="W39" s="306"/>
      <c r="X39" s="306"/>
      <c r="Y39" s="306"/>
      <c r="Z39" s="35">
        <f t="shared" si="17"/>
        <v>0</v>
      </c>
      <c r="AA39" s="367">
        <f t="shared" si="12"/>
        <v>0</v>
      </c>
      <c r="AB39" s="368">
        <f t="shared" si="1"/>
        <v>0</v>
      </c>
      <c r="AC39" s="369">
        <f t="shared" si="13"/>
        <v>0</v>
      </c>
      <c r="AD39" s="327">
        <f t="shared" si="2"/>
        <v>0</v>
      </c>
      <c r="AE39" s="328">
        <f t="shared" si="14"/>
        <v>0</v>
      </c>
      <c r="AF39" s="350">
        <f t="shared" si="48"/>
        <v>0</v>
      </c>
      <c r="AG39" s="29">
        <f t="shared" si="4"/>
        <v>0</v>
      </c>
      <c r="AH39" s="47">
        <f>IF($M$3&gt;0,TGsh!C37*$M$4%+TGsh!D37*(1-$M$4%),0)</f>
        <v>0</v>
      </c>
      <c r="AI39" s="892"/>
      <c r="AJ39" s="7" t="str">
        <f>$AJ$11</f>
        <v>Ef. Alim</v>
      </c>
      <c r="AK39" s="12">
        <f>IF(AK38&gt;0,AK36/AK38/10,0)</f>
        <v>0</v>
      </c>
      <c r="AL39" s="45">
        <f>IF(AL38&gt;0,AL36/AL38/10,0)</f>
        <v>0</v>
      </c>
      <c r="AM39" s="11" t="str">
        <f>IF(AK39&gt;0,(AK39-AL39)/AL39*100,"")</f>
        <v/>
      </c>
      <c r="AN39" s="50"/>
      <c r="AO39" s="16">
        <f t="shared" si="43"/>
        <v>6</v>
      </c>
      <c r="AP39" s="8">
        <f>AK46</f>
        <v>0</v>
      </c>
      <c r="AQ39" s="8">
        <f t="shared" ref="AQ39:AR39" si="52">AL46</f>
        <v>0</v>
      </c>
      <c r="AR39" s="17" t="str">
        <f t="shared" si="52"/>
        <v/>
      </c>
      <c r="AS39" s="72">
        <f t="shared" si="5"/>
        <v>0</v>
      </c>
      <c r="AT39" s="72">
        <f t="shared" si="6"/>
        <v>0</v>
      </c>
      <c r="AU39" s="72">
        <f t="shared" si="7"/>
        <v>0</v>
      </c>
      <c r="AV39" s="50"/>
      <c r="AW39" s="50"/>
      <c r="AX39" s="50"/>
      <c r="AY39" s="50"/>
      <c r="AZ39" s="16">
        <f t="shared" ref="AZ39:AZ44" si="53">AZ38+1</f>
        <v>3</v>
      </c>
      <c r="BA39" s="8">
        <f>AI26</f>
        <v>0</v>
      </c>
      <c r="BB39" s="8">
        <f>IF('Liq-Zoot'!$E$31&gt;0,AL22/1000*J26/'Liq-Zoot'!$E$31,0)</f>
        <v>0</v>
      </c>
      <c r="BC39" s="17" t="str">
        <f t="shared" si="50"/>
        <v/>
      </c>
      <c r="BD39" s="50"/>
      <c r="BE39" s="50"/>
      <c r="BF39" s="50"/>
    </row>
    <row r="40" spans="1:58" ht="16.5" thickBot="1" x14ac:dyDescent="0.3">
      <c r="A40" s="930"/>
      <c r="B40" s="54" t="str">
        <f t="shared" si="8"/>
        <v/>
      </c>
      <c r="C40" s="376">
        <f t="shared" si="9"/>
        <v>35</v>
      </c>
      <c r="D40" s="400"/>
      <c r="E40" s="401"/>
      <c r="F40" s="402"/>
      <c r="G40" s="400"/>
      <c r="H40" s="406">
        <f t="shared" si="0"/>
        <v>0</v>
      </c>
      <c r="I40" s="419">
        <f>IF($Q$1&gt;0,TGsh!E38*$M$4%+TGsh!F38*(1-$M$4%),0)</f>
        <v>0</v>
      </c>
      <c r="J40" s="56">
        <f t="shared" si="10"/>
        <v>0</v>
      </c>
      <c r="K40" s="301" t="str">
        <f>$K$12</f>
        <v xml:space="preserve">Mort + Sel Acum </v>
      </c>
      <c r="L40" s="293">
        <f>L37+L33</f>
        <v>0</v>
      </c>
      <c r="M40" s="438">
        <f>IF($M$3&gt;0,L40/$M$3,0)</f>
        <v>0</v>
      </c>
      <c r="N40" s="439">
        <f t="shared" ref="N40" ca="1" si="54">SUM(N38:N39)</f>
        <v>0</v>
      </c>
      <c r="O40" s="27"/>
      <c r="P40" s="33"/>
      <c r="Q40" s="33"/>
      <c r="R40" s="316">
        <f t="shared" si="11"/>
        <v>0</v>
      </c>
      <c r="S40" s="322"/>
      <c r="T40" s="33"/>
      <c r="U40" s="323"/>
      <c r="V40" s="324">
        <f t="shared" si="16"/>
        <v>0</v>
      </c>
      <c r="W40" s="307"/>
      <c r="X40" s="307"/>
      <c r="Y40" s="307"/>
      <c r="Z40" s="36">
        <f t="shared" si="17"/>
        <v>0</v>
      </c>
      <c r="AA40" s="370">
        <f t="shared" si="12"/>
        <v>0</v>
      </c>
      <c r="AB40" s="371">
        <f t="shared" si="1"/>
        <v>0</v>
      </c>
      <c r="AC40" s="372">
        <f t="shared" si="13"/>
        <v>0</v>
      </c>
      <c r="AD40" s="351">
        <f t="shared" si="2"/>
        <v>0</v>
      </c>
      <c r="AE40" s="502">
        <f t="shared" si="14"/>
        <v>0</v>
      </c>
      <c r="AF40" s="352">
        <f t="shared" si="48"/>
        <v>0</v>
      </c>
      <c r="AG40" s="30">
        <f t="shared" si="4"/>
        <v>0</v>
      </c>
      <c r="AH40" s="48">
        <f>IF($M$3&gt;0,TGsh!C38*$M$4%+TGsh!D38*(1-$M$4%),0)</f>
        <v>0</v>
      </c>
      <c r="AI40" s="342">
        <f>IF('Liq-Zoot'!$F$31&gt;0,AK36/1000*J40/'Liq-Zoot'!$F$31,0)</f>
        <v>0</v>
      </c>
      <c r="AJ40" s="343" t="str">
        <f>$AJ$12</f>
        <v>Fact. IP</v>
      </c>
      <c r="AK40" s="344">
        <f>IF(AK38&gt;0,AK39/AK38,0)</f>
        <v>0</v>
      </c>
      <c r="AL40" s="345">
        <f>IF(AL38&gt;0,AL39/AL38,0)</f>
        <v>0</v>
      </c>
      <c r="AM40" s="346" t="str">
        <f>IF(AK40&gt;0,(AK40-AL40)/AL40*100,"")</f>
        <v/>
      </c>
      <c r="AN40" s="50"/>
      <c r="AO40" s="16">
        <f t="shared" si="43"/>
        <v>7</v>
      </c>
      <c r="AP40" s="8">
        <f>AK53</f>
        <v>0</v>
      </c>
      <c r="AQ40" s="8">
        <f t="shared" ref="AQ40:AR40" si="55">AL53</f>
        <v>0</v>
      </c>
      <c r="AR40" s="17" t="str">
        <f t="shared" si="55"/>
        <v/>
      </c>
      <c r="AS40" s="72">
        <f t="shared" si="5"/>
        <v>0</v>
      </c>
      <c r="AT40" s="72">
        <f t="shared" si="6"/>
        <v>0</v>
      </c>
      <c r="AU40" s="72">
        <f t="shared" si="7"/>
        <v>0</v>
      </c>
      <c r="AV40" s="50"/>
      <c r="AW40" s="50"/>
      <c r="AX40" s="50"/>
      <c r="AY40" s="50"/>
      <c r="AZ40" s="16">
        <f t="shared" si="53"/>
        <v>4</v>
      </c>
      <c r="BA40" s="8">
        <f>AI33</f>
        <v>0</v>
      </c>
      <c r="BB40" s="8">
        <f>IF('Liq-Zoot'!$E$31&gt;0,AL29/1000*J33/'Liq-Zoot'!$E$31,0)</f>
        <v>0</v>
      </c>
      <c r="BC40" s="17" t="str">
        <f t="shared" si="50"/>
        <v/>
      </c>
      <c r="BD40" s="50"/>
      <c r="BE40" s="50"/>
      <c r="BF40" s="50"/>
    </row>
    <row r="41" spans="1:58" ht="16.5" customHeight="1" thickBot="1" x14ac:dyDescent="0.3">
      <c r="A41" s="928" t="s">
        <v>23</v>
      </c>
      <c r="B41" s="52" t="str">
        <f t="shared" si="8"/>
        <v/>
      </c>
      <c r="C41" s="374">
        <f t="shared" si="9"/>
        <v>36</v>
      </c>
      <c r="D41" s="392"/>
      <c r="E41" s="393"/>
      <c r="F41" s="394"/>
      <c r="G41" s="392"/>
      <c r="H41" s="403">
        <f t="shared" si="0"/>
        <v>0</v>
      </c>
      <c r="I41" s="418">
        <f>IF($Q$1&gt;0,TGsh!E39*$M$4%+TGsh!F39*(1-$M$4%),0)</f>
        <v>0</v>
      </c>
      <c r="J41" s="55">
        <f t="shared" si="10"/>
        <v>0</v>
      </c>
      <c r="K41" s="294" t="str">
        <f>$K$6</f>
        <v>Item</v>
      </c>
      <c r="L41" s="295" t="str">
        <f>$L$6</f>
        <v>#</v>
      </c>
      <c r="M41" s="295" t="str">
        <f>$M$6</f>
        <v>Real %</v>
      </c>
      <c r="N41" s="296" t="str">
        <f t="shared" ref="N41" si="56">$N$6</f>
        <v>Guia %</v>
      </c>
      <c r="O41" s="25"/>
      <c r="P41" s="31"/>
      <c r="Q41" s="31"/>
      <c r="R41" s="314">
        <f t="shared" si="11"/>
        <v>0</v>
      </c>
      <c r="S41" s="318"/>
      <c r="T41" s="31"/>
      <c r="U41" s="319"/>
      <c r="V41" s="34">
        <f t="shared" si="16"/>
        <v>0</v>
      </c>
      <c r="W41" s="305"/>
      <c r="X41" s="305"/>
      <c r="Y41" s="305"/>
      <c r="Z41" s="34">
        <f t="shared" si="17"/>
        <v>0</v>
      </c>
      <c r="AA41" s="364">
        <f t="shared" si="12"/>
        <v>0</v>
      </c>
      <c r="AB41" s="365">
        <f t="shared" si="1"/>
        <v>0</v>
      </c>
      <c r="AC41" s="366">
        <f t="shared" si="13"/>
        <v>0</v>
      </c>
      <c r="AD41" s="325">
        <f t="shared" si="2"/>
        <v>0</v>
      </c>
      <c r="AE41" s="326">
        <f t="shared" si="14"/>
        <v>0</v>
      </c>
      <c r="AF41" s="349">
        <f t="shared" si="48"/>
        <v>0</v>
      </c>
      <c r="AG41" s="28">
        <f t="shared" si="4"/>
        <v>0</v>
      </c>
      <c r="AH41" s="46">
        <f>IF($M$3&gt;0,TGsh!C39*$M$4%+TGsh!D39*(1-$M$4%),0)</f>
        <v>0</v>
      </c>
      <c r="AI41" s="347" t="str">
        <f>$AI$6</f>
        <v>Gr. Obten.</v>
      </c>
      <c r="AJ41" s="335" t="str">
        <f>$AJ$6</f>
        <v>Cons Sem</v>
      </c>
      <c r="AK41" s="3">
        <f>IF((J47+SUM(F41:F47))&gt;0,SUM(AD41:AD47)*40000/(J47+SUM(F41:F47)),0)</f>
        <v>0</v>
      </c>
      <c r="AL41" s="41">
        <f>SUMIF($AD41:$AD47,"&gt;0",AH41:AH47)</f>
        <v>0</v>
      </c>
      <c r="AM41" s="336" t="str">
        <f>IF(AK41&gt;0,(AK41-AL41)/AL41*100,"")</f>
        <v/>
      </c>
      <c r="AN41" s="50"/>
      <c r="AO41" s="18">
        <f t="shared" si="43"/>
        <v>8</v>
      </c>
      <c r="AP41" s="22">
        <f>AK60</f>
        <v>0</v>
      </c>
      <c r="AQ41" s="22">
        <f t="shared" ref="AQ41:AR41" si="57">AL60</f>
        <v>0</v>
      </c>
      <c r="AR41" s="23" t="str">
        <f t="shared" si="57"/>
        <v/>
      </c>
      <c r="AS41" s="72">
        <f t="shared" si="5"/>
        <v>0</v>
      </c>
      <c r="AT41" s="72">
        <f t="shared" si="6"/>
        <v>0</v>
      </c>
      <c r="AU41" s="72">
        <f t="shared" si="7"/>
        <v>0</v>
      </c>
      <c r="AV41" s="50"/>
      <c r="AW41" s="50"/>
      <c r="AX41" s="50"/>
      <c r="AY41" s="50"/>
      <c r="AZ41" s="16">
        <f t="shared" si="53"/>
        <v>5</v>
      </c>
      <c r="BA41" s="8">
        <f>AI40</f>
        <v>0</v>
      </c>
      <c r="BB41" s="8">
        <f>IF('Liq-Zoot'!$E$31&gt;0,AL36/1000*J40/'Liq-Zoot'!$E$31,0)</f>
        <v>0</v>
      </c>
      <c r="BC41" s="17" t="str">
        <f t="shared" si="50"/>
        <v/>
      </c>
      <c r="BD41" s="50"/>
      <c r="BE41" s="50"/>
      <c r="BF41" s="50"/>
    </row>
    <row r="42" spans="1:58" ht="16.5" thickBot="1" x14ac:dyDescent="0.3">
      <c r="A42" s="929"/>
      <c r="B42" s="53" t="str">
        <f t="shared" si="8"/>
        <v/>
      </c>
      <c r="C42" s="375">
        <f t="shared" si="9"/>
        <v>37</v>
      </c>
      <c r="D42" s="395"/>
      <c r="E42" s="396"/>
      <c r="F42" s="397"/>
      <c r="G42" s="395"/>
      <c r="H42" s="404">
        <f t="shared" si="0"/>
        <v>0</v>
      </c>
      <c r="I42" s="421">
        <f>IF($Q$1&gt;0,TGsh!E40*$M$4%+TGsh!F40*(1-$M$4%),0)</f>
        <v>0</v>
      </c>
      <c r="J42" s="411">
        <f t="shared" si="10"/>
        <v>0</v>
      </c>
      <c r="K42" s="297" t="str">
        <f>$K$7</f>
        <v xml:space="preserve">Mort Sem </v>
      </c>
      <c r="L42" s="289">
        <f>SUM(D41:D47)</f>
        <v>0</v>
      </c>
      <c r="M42" s="429">
        <f>IF(J40&gt;0,L42/J40,0)</f>
        <v>0</v>
      </c>
      <c r="N42" s="430">
        <f ca="1">SUM(TGsh!G39:G45)</f>
        <v>0</v>
      </c>
      <c r="O42" s="26"/>
      <c r="P42" s="32"/>
      <c r="Q42" s="32"/>
      <c r="R42" s="315">
        <f t="shared" si="11"/>
        <v>0</v>
      </c>
      <c r="S42" s="320"/>
      <c r="T42" s="32"/>
      <c r="U42" s="321"/>
      <c r="V42" s="35">
        <f t="shared" si="16"/>
        <v>0</v>
      </c>
      <c r="W42" s="306"/>
      <c r="X42" s="306"/>
      <c r="Y42" s="306"/>
      <c r="Z42" s="35">
        <f t="shared" si="17"/>
        <v>0</v>
      </c>
      <c r="AA42" s="367">
        <f t="shared" si="12"/>
        <v>0</v>
      </c>
      <c r="AB42" s="368">
        <f t="shared" si="1"/>
        <v>0</v>
      </c>
      <c r="AC42" s="369">
        <f t="shared" si="13"/>
        <v>0</v>
      </c>
      <c r="AD42" s="327">
        <f t="shared" si="2"/>
        <v>0</v>
      </c>
      <c r="AE42" s="328">
        <f t="shared" si="14"/>
        <v>0</v>
      </c>
      <c r="AF42" s="350">
        <f t="shared" si="48"/>
        <v>0</v>
      </c>
      <c r="AG42" s="29">
        <f t="shared" si="4"/>
        <v>0</v>
      </c>
      <c r="AH42" s="47">
        <f>IF($M$3&gt;0,TGsh!C40*$M$4%+TGsh!D40*(1-$M$4%),0)</f>
        <v>0</v>
      </c>
      <c r="AI42" s="337">
        <f>IF(SUM(AD41:AD47)&gt;0,AVERAGEIF(AD41:AD47,"&gt;0",AG41:AG47),0)</f>
        <v>0</v>
      </c>
      <c r="AJ42" s="338" t="str">
        <f>$AJ$7</f>
        <v>Cons Acum</v>
      </c>
      <c r="AK42" s="339">
        <f>IF((J47+SUM(F$6:F47))&gt;0,SUM(AD$6:AD47)*40000/(J47+SUM(F$6:F47)),0)</f>
        <v>0</v>
      </c>
      <c r="AL42" s="340">
        <f>AL35+AL41</f>
        <v>0</v>
      </c>
      <c r="AM42" s="341" t="str">
        <f>IF(AK41&gt;0,(AK42-AL42)/AL42*100,"")</f>
        <v/>
      </c>
      <c r="AN42" s="50"/>
      <c r="AO42" s="19" t="s">
        <v>9</v>
      </c>
      <c r="AP42" s="20" t="s">
        <v>34</v>
      </c>
      <c r="AQ42" s="20" t="s">
        <v>35</v>
      </c>
      <c r="AR42" s="21" t="s">
        <v>14</v>
      </c>
      <c r="AS42" s="72">
        <f t="shared" si="5"/>
        <v>0</v>
      </c>
      <c r="AT42" s="72">
        <f t="shared" si="6"/>
        <v>0</v>
      </c>
      <c r="AU42" s="72">
        <f t="shared" si="7"/>
        <v>0</v>
      </c>
      <c r="AV42" s="50"/>
      <c r="AW42" s="50"/>
      <c r="AX42" s="50"/>
      <c r="AY42" s="50"/>
      <c r="AZ42" s="16">
        <f t="shared" si="53"/>
        <v>6</v>
      </c>
      <c r="BA42" s="8">
        <f>AI47</f>
        <v>0</v>
      </c>
      <c r="BB42" s="8">
        <f>IF('Liq-Zoot'!$E$31&gt;0,AL43/1000*J47/'Liq-Zoot'!$E$31,0)</f>
        <v>0</v>
      </c>
      <c r="BC42" s="17" t="str">
        <f>IF(BA42&gt;0,(BA42-BB42)/BB42*100,"")</f>
        <v/>
      </c>
      <c r="BD42" s="50"/>
      <c r="BE42" s="50"/>
      <c r="BF42" s="50"/>
    </row>
    <row r="43" spans="1:58" ht="16.5" thickBot="1" x14ac:dyDescent="0.3">
      <c r="A43" s="929"/>
      <c r="B43" s="53" t="str">
        <f t="shared" si="8"/>
        <v/>
      </c>
      <c r="C43" s="375">
        <f t="shared" si="9"/>
        <v>38</v>
      </c>
      <c r="D43" s="395"/>
      <c r="E43" s="396"/>
      <c r="F43" s="397"/>
      <c r="G43" s="395"/>
      <c r="H43" s="404">
        <f t="shared" si="0"/>
        <v>0</v>
      </c>
      <c r="I43" s="421">
        <f>IF($Q$1&gt;0,TGsh!E41*$M$4%+TGsh!F41*(1-$M$4%),0)</f>
        <v>0</v>
      </c>
      <c r="J43" s="411">
        <f t="shared" si="10"/>
        <v>0</v>
      </c>
      <c r="K43" s="298" t="str">
        <f>$K$8</f>
        <v xml:space="preserve">Sel Sem </v>
      </c>
      <c r="L43" s="290">
        <f>SUM(E41:E47)</f>
        <v>0</v>
      </c>
      <c r="M43" s="431">
        <f>IF(J40&gt;0,L43/J40,0)</f>
        <v>0</v>
      </c>
      <c r="N43" s="432">
        <v>0</v>
      </c>
      <c r="O43" s="26"/>
      <c r="P43" s="32"/>
      <c r="Q43" s="32"/>
      <c r="R43" s="315">
        <f t="shared" si="11"/>
        <v>0</v>
      </c>
      <c r="S43" s="320"/>
      <c r="T43" s="32"/>
      <c r="U43" s="321"/>
      <c r="V43" s="35">
        <f t="shared" si="16"/>
        <v>0</v>
      </c>
      <c r="W43" s="306"/>
      <c r="X43" s="306"/>
      <c r="Y43" s="306"/>
      <c r="Z43" s="35">
        <f t="shared" si="17"/>
        <v>0</v>
      </c>
      <c r="AA43" s="367">
        <f t="shared" si="12"/>
        <v>0</v>
      </c>
      <c r="AB43" s="368">
        <f t="shared" si="1"/>
        <v>0</v>
      </c>
      <c r="AC43" s="369">
        <f t="shared" si="13"/>
        <v>0</v>
      </c>
      <c r="AD43" s="327">
        <f t="shared" si="2"/>
        <v>0</v>
      </c>
      <c r="AE43" s="328">
        <f t="shared" si="14"/>
        <v>0</v>
      </c>
      <c r="AF43" s="350">
        <f t="shared" si="48"/>
        <v>0</v>
      </c>
      <c r="AG43" s="29">
        <f t="shared" si="4"/>
        <v>0</v>
      </c>
      <c r="AH43" s="47">
        <f>IF($M$3&gt;0,TGsh!C41*$M$4%+TGsh!D41*(1-$M$4%),0)</f>
        <v>0</v>
      </c>
      <c r="AI43" s="40" t="str">
        <f>$AI$8</f>
        <v>Gr. Guía</v>
      </c>
      <c r="AJ43" s="4" t="str">
        <f>$AJ$8</f>
        <v>Peso Sem</v>
      </c>
      <c r="AK43" s="332">
        <f>IF(SUM($F41:$F47)&gt;0,SUMPRODUCT($F41:$F47,H41:H47)/SUM($F41:$F47),0)</f>
        <v>0</v>
      </c>
      <c r="AL43" s="42">
        <f>IF($Q$1&gt;0,I47,0)</f>
        <v>0</v>
      </c>
      <c r="AM43" s="9" t="str">
        <f>IF(AK43&gt;0,(AK43-AL43)/AL43*100,"")</f>
        <v/>
      </c>
      <c r="AN43" s="50"/>
      <c r="AO43" s="14">
        <v>1</v>
      </c>
      <c r="AP43" s="3">
        <f>AK12</f>
        <v>0</v>
      </c>
      <c r="AQ43" s="3">
        <f t="shared" ref="AQ43:AR43" si="58">AL12</f>
        <v>0</v>
      </c>
      <c r="AR43" s="15" t="str">
        <f t="shared" si="58"/>
        <v/>
      </c>
      <c r="AS43" s="72">
        <f t="shared" si="5"/>
        <v>0</v>
      </c>
      <c r="AT43" s="72">
        <f t="shared" si="6"/>
        <v>0</v>
      </c>
      <c r="AU43" s="72">
        <f t="shared" si="7"/>
        <v>0</v>
      </c>
      <c r="AV43" s="50"/>
      <c r="AW43" s="50"/>
      <c r="AX43" s="50"/>
      <c r="AY43" s="50"/>
      <c r="AZ43" s="16">
        <f t="shared" si="53"/>
        <v>7</v>
      </c>
      <c r="BA43" s="8">
        <f>AI54</f>
        <v>0</v>
      </c>
      <c r="BB43" s="8">
        <f>IF('Liq-Zoot'!$E$31&gt;0,AL50/1000*J54/'Liq-Zoot'!$E$31,0)</f>
        <v>0</v>
      </c>
      <c r="BC43" s="17" t="str">
        <f>IF(BA43&gt;0,(BA43-BB43)/BB43*100,"")</f>
        <v/>
      </c>
      <c r="BD43" s="50"/>
      <c r="BE43" s="50"/>
      <c r="BF43" s="50"/>
    </row>
    <row r="44" spans="1:58" ht="16.5" thickBot="1" x14ac:dyDescent="0.3">
      <c r="A44" s="929"/>
      <c r="B44" s="53" t="str">
        <f t="shared" si="8"/>
        <v/>
      </c>
      <c r="C44" s="375">
        <f t="shared" si="9"/>
        <v>39</v>
      </c>
      <c r="D44" s="395"/>
      <c r="E44" s="396"/>
      <c r="F44" s="397"/>
      <c r="G44" s="395"/>
      <c r="H44" s="404">
        <f t="shared" si="0"/>
        <v>0</v>
      </c>
      <c r="I44" s="421">
        <f>IF($Q$1&gt;0,TGsh!E42*$M$4%+TGsh!F42*(1-$M$4%),0)</f>
        <v>0</v>
      </c>
      <c r="J44" s="411">
        <f t="shared" si="10"/>
        <v>0</v>
      </c>
      <c r="K44" s="299" t="str">
        <f>$K$9</f>
        <v xml:space="preserve">Mort + Sel Sem </v>
      </c>
      <c r="L44" s="291">
        <f>SUM(L42:L43)</f>
        <v>0</v>
      </c>
      <c r="M44" s="433">
        <f>IF(J40&gt;0,L44/J40,0)</f>
        <v>0</v>
      </c>
      <c r="N44" s="434">
        <f t="shared" ref="N44" ca="1" si="59">SUM(N42:N43)</f>
        <v>0</v>
      </c>
      <c r="O44" s="26"/>
      <c r="P44" s="32"/>
      <c r="Q44" s="32"/>
      <c r="R44" s="315">
        <f t="shared" si="11"/>
        <v>0</v>
      </c>
      <c r="S44" s="320"/>
      <c r="T44" s="32"/>
      <c r="U44" s="321"/>
      <c r="V44" s="35">
        <f t="shared" si="16"/>
        <v>0</v>
      </c>
      <c r="W44" s="306"/>
      <c r="X44" s="306"/>
      <c r="Y44" s="306"/>
      <c r="Z44" s="35">
        <f t="shared" si="17"/>
        <v>0</v>
      </c>
      <c r="AA44" s="367">
        <f t="shared" si="12"/>
        <v>0</v>
      </c>
      <c r="AB44" s="368">
        <f t="shared" si="1"/>
        <v>0</v>
      </c>
      <c r="AC44" s="369">
        <f t="shared" si="13"/>
        <v>0</v>
      </c>
      <c r="AD44" s="327">
        <f t="shared" si="2"/>
        <v>0</v>
      </c>
      <c r="AE44" s="328">
        <f t="shared" si="14"/>
        <v>0</v>
      </c>
      <c r="AF44" s="350">
        <f t="shared" si="48"/>
        <v>0</v>
      </c>
      <c r="AG44" s="29">
        <f t="shared" si="4"/>
        <v>0</v>
      </c>
      <c r="AH44" s="47">
        <f>IF($M$3&gt;0,TGsh!C42*$M$4%+TGsh!D42*(1-$M$4%),0)</f>
        <v>0</v>
      </c>
      <c r="AI44" s="337">
        <f>IF(SUM(AD41:AD47)&gt;0,AVERAGEIF(AD41:AD47,"&gt;0",AH41:AH47),0)</f>
        <v>0</v>
      </c>
      <c r="AJ44" s="5" t="str">
        <f t="shared" ref="AJ44" si="60">AJ37</f>
        <v>Gan Dia</v>
      </c>
      <c r="AK44" s="6">
        <f>IF(AND(AK36&gt;0,AK43&gt;0),(AK43-AK36)/(COUNTIF(AD41:AD47,"&gt;0")),0)</f>
        <v>0</v>
      </c>
      <c r="AL44" s="43">
        <f>IF(AND(AL36&gt;0,AL43&gt;0,COUNTIF(AD41:AD47,"&gt;0")),(AL43-AL36)/COUNTIF(AD41:AD47,"&gt;0"),0)</f>
        <v>0</v>
      </c>
      <c r="AM44" s="10" t="str">
        <f>IF(AK44&gt;0,(AK44-AL44)/AL44*100,"")</f>
        <v/>
      </c>
      <c r="AN44" s="354"/>
      <c r="AO44" s="16">
        <f>AO43+1</f>
        <v>2</v>
      </c>
      <c r="AP44" s="8">
        <f>AK19</f>
        <v>0</v>
      </c>
      <c r="AQ44" s="8">
        <f t="shared" ref="AQ44:AR44" si="61">AL19</f>
        <v>0</v>
      </c>
      <c r="AR44" s="17" t="str">
        <f t="shared" si="61"/>
        <v/>
      </c>
      <c r="AS44" s="72">
        <f t="shared" si="5"/>
        <v>0</v>
      </c>
      <c r="AT44" s="72">
        <f t="shared" si="6"/>
        <v>0</v>
      </c>
      <c r="AU44" s="72">
        <f t="shared" si="7"/>
        <v>0</v>
      </c>
      <c r="AV44" s="50"/>
      <c r="AW44" s="50"/>
      <c r="AX44" s="50"/>
      <c r="AY44" s="50"/>
      <c r="AZ44" s="18">
        <f t="shared" si="53"/>
        <v>8</v>
      </c>
      <c r="BA44" s="22">
        <f>AI61</f>
        <v>0</v>
      </c>
      <c r="BB44" s="22">
        <f>IF('Liq-Zoot'!$E$31&gt;0,AL57/1000*J61/'Liq-Zoot'!$E$31,0)</f>
        <v>0</v>
      </c>
      <c r="BC44" s="23" t="str">
        <f t="shared" si="50"/>
        <v/>
      </c>
      <c r="BD44" s="50"/>
      <c r="BE44" s="50"/>
      <c r="BF44" s="50"/>
    </row>
    <row r="45" spans="1:58" ht="15.75" customHeight="1" x14ac:dyDescent="0.25">
      <c r="A45" s="929"/>
      <c r="B45" s="53" t="str">
        <f t="shared" si="8"/>
        <v/>
      </c>
      <c r="C45" s="375">
        <f t="shared" si="9"/>
        <v>40</v>
      </c>
      <c r="D45" s="395"/>
      <c r="E45" s="396"/>
      <c r="F45" s="397"/>
      <c r="G45" s="395"/>
      <c r="H45" s="404">
        <f t="shared" si="0"/>
        <v>0</v>
      </c>
      <c r="I45" s="421">
        <f>IF($Q$1&gt;0,TGsh!E43*$M$4%+TGsh!F43*(1-$M$4%),0)</f>
        <v>0</v>
      </c>
      <c r="J45" s="411">
        <f t="shared" si="10"/>
        <v>0</v>
      </c>
      <c r="K45" s="300" t="str">
        <f>$K$10</f>
        <v xml:space="preserve">Mort Acum </v>
      </c>
      <c r="L45" s="292">
        <f>L42+L38</f>
        <v>0</v>
      </c>
      <c r="M45" s="435">
        <f>IF($M$3&gt;0,L45/$M$3,0)</f>
        <v>0</v>
      </c>
      <c r="N45" s="436">
        <f ca="1">TGsh!H45</f>
        <v>0</v>
      </c>
      <c r="O45" s="26"/>
      <c r="P45" s="32"/>
      <c r="Q45" s="32"/>
      <c r="R45" s="315">
        <f t="shared" si="11"/>
        <v>0</v>
      </c>
      <c r="S45" s="320"/>
      <c r="T45" s="32"/>
      <c r="U45" s="321"/>
      <c r="V45" s="35">
        <f t="shared" si="16"/>
        <v>0</v>
      </c>
      <c r="W45" s="306"/>
      <c r="X45" s="306"/>
      <c r="Y45" s="306"/>
      <c r="Z45" s="35">
        <f t="shared" si="17"/>
        <v>0</v>
      </c>
      <c r="AA45" s="367">
        <f t="shared" si="12"/>
        <v>0</v>
      </c>
      <c r="AB45" s="368">
        <f t="shared" si="1"/>
        <v>0</v>
      </c>
      <c r="AC45" s="369">
        <f t="shared" si="13"/>
        <v>0</v>
      </c>
      <c r="AD45" s="327">
        <f t="shared" si="2"/>
        <v>0</v>
      </c>
      <c r="AE45" s="328">
        <f t="shared" si="14"/>
        <v>0</v>
      </c>
      <c r="AF45" s="350">
        <f t="shared" si="48"/>
        <v>0</v>
      </c>
      <c r="AG45" s="29">
        <f t="shared" si="4"/>
        <v>0</v>
      </c>
      <c r="AH45" s="47">
        <f>IF($M$3&gt;0,TGsh!C43*$M$4%+TGsh!D43*(1-$M$4%),0)</f>
        <v>0</v>
      </c>
      <c r="AI45" s="891" t="s">
        <v>46</v>
      </c>
      <c r="AJ45" s="7" t="str">
        <f>$AJ$10</f>
        <v>Conversión</v>
      </c>
      <c r="AK45" s="13">
        <f>IF(AK43&gt;0,AK42/AK43,0)</f>
        <v>0</v>
      </c>
      <c r="AL45" s="44">
        <f>IF(AL43&gt;0,AL42/AL43,0)</f>
        <v>0</v>
      </c>
      <c r="AM45" s="11" t="str">
        <f>IF(AK43&gt;0,-(AK45-AL45)/AL45*100,"")</f>
        <v/>
      </c>
      <c r="AN45" s="50"/>
      <c r="AO45" s="16">
        <f t="shared" ref="AO45:AO50" si="62">AO44+1</f>
        <v>3</v>
      </c>
      <c r="AP45" s="8">
        <f>AK26</f>
        <v>0</v>
      </c>
      <c r="AQ45" s="8">
        <f t="shared" ref="AQ45:AR45" si="63">AL26</f>
        <v>0</v>
      </c>
      <c r="AR45" s="17" t="str">
        <f t="shared" si="63"/>
        <v/>
      </c>
      <c r="AS45" s="72">
        <f t="shared" si="5"/>
        <v>0</v>
      </c>
      <c r="AT45" s="72">
        <f t="shared" si="6"/>
        <v>0</v>
      </c>
      <c r="AU45" s="72">
        <f t="shared" si="7"/>
        <v>0</v>
      </c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</row>
    <row r="46" spans="1:58" ht="15.75" x14ac:dyDescent="0.25">
      <c r="A46" s="929"/>
      <c r="B46" s="53" t="str">
        <f t="shared" si="8"/>
        <v/>
      </c>
      <c r="C46" s="375">
        <f t="shared" si="9"/>
        <v>41</v>
      </c>
      <c r="D46" s="395"/>
      <c r="E46" s="396"/>
      <c r="F46" s="397"/>
      <c r="G46" s="409"/>
      <c r="H46" s="405">
        <f t="shared" si="0"/>
        <v>0</v>
      </c>
      <c r="I46" s="420">
        <f>IF($Q$1&gt;0,TGsh!E44*$M$4%+TGsh!F44*(1-$M$4%),0)</f>
        <v>0</v>
      </c>
      <c r="J46" s="412">
        <f t="shared" si="10"/>
        <v>0</v>
      </c>
      <c r="K46" s="298" t="str">
        <f>$K$11</f>
        <v xml:space="preserve">Sel Acum </v>
      </c>
      <c r="L46" s="290">
        <f>L43+L39</f>
        <v>0</v>
      </c>
      <c r="M46" s="431">
        <f>IF($M$3&gt;0,L46/$M$3,0)</f>
        <v>0</v>
      </c>
      <c r="N46" s="437">
        <f t="shared" ref="N46" si="64">N43+N39</f>
        <v>0</v>
      </c>
      <c r="O46" s="26"/>
      <c r="P46" s="32"/>
      <c r="Q46" s="32"/>
      <c r="R46" s="315">
        <f t="shared" si="11"/>
        <v>0</v>
      </c>
      <c r="S46" s="320"/>
      <c r="T46" s="32"/>
      <c r="U46" s="321"/>
      <c r="V46" s="35">
        <f t="shared" si="16"/>
        <v>0</v>
      </c>
      <c r="W46" s="306"/>
      <c r="X46" s="32"/>
      <c r="Y46" s="306"/>
      <c r="Z46" s="35">
        <f t="shared" si="17"/>
        <v>0</v>
      </c>
      <c r="AA46" s="367">
        <f t="shared" si="12"/>
        <v>0</v>
      </c>
      <c r="AB46" s="368">
        <f t="shared" si="1"/>
        <v>0</v>
      </c>
      <c r="AC46" s="369">
        <f t="shared" si="13"/>
        <v>0</v>
      </c>
      <c r="AD46" s="327">
        <f t="shared" si="2"/>
        <v>0</v>
      </c>
      <c r="AE46" s="328">
        <f t="shared" si="14"/>
        <v>0</v>
      </c>
      <c r="AF46" s="350">
        <f t="shared" si="48"/>
        <v>0</v>
      </c>
      <c r="AG46" s="29">
        <f t="shared" si="4"/>
        <v>0</v>
      </c>
      <c r="AH46" s="47">
        <f>IF($M$3&gt;0,TGsh!C44*$M$4%+TGsh!D44*(1-$M$4%),0)</f>
        <v>0</v>
      </c>
      <c r="AI46" s="892"/>
      <c r="AJ46" s="7" t="str">
        <f>$AJ$11</f>
        <v>Ef. Alim</v>
      </c>
      <c r="AK46" s="12">
        <f>IF(AK45&gt;0,AK43/AK45/10,0)</f>
        <v>0</v>
      </c>
      <c r="AL46" s="45">
        <f>IF(AL45&gt;0,AL43/AL45/10,0)</f>
        <v>0</v>
      </c>
      <c r="AM46" s="11" t="str">
        <f>IF(AK46&gt;0,(AK46-AL46)/AL46*100,"")</f>
        <v/>
      </c>
      <c r="AN46" s="50"/>
      <c r="AO46" s="16">
        <f t="shared" si="62"/>
        <v>4</v>
      </c>
      <c r="AP46" s="8">
        <f>AK33</f>
        <v>0</v>
      </c>
      <c r="AQ46" s="8">
        <f t="shared" ref="AQ46:AR46" si="65">AL33</f>
        <v>0</v>
      </c>
      <c r="AR46" s="17" t="str">
        <f t="shared" si="65"/>
        <v/>
      </c>
      <c r="AS46" s="72">
        <f t="shared" si="5"/>
        <v>0</v>
      </c>
      <c r="AT46" s="72">
        <f t="shared" si="6"/>
        <v>0</v>
      </c>
      <c r="AU46" s="72">
        <f t="shared" si="7"/>
        <v>0</v>
      </c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</row>
    <row r="47" spans="1:58" ht="16.5" thickBot="1" x14ac:dyDescent="0.3">
      <c r="A47" s="930"/>
      <c r="B47" s="54" t="str">
        <f t="shared" si="8"/>
        <v/>
      </c>
      <c r="C47" s="376">
        <f t="shared" si="9"/>
        <v>42</v>
      </c>
      <c r="D47" s="400"/>
      <c r="E47" s="401"/>
      <c r="F47" s="402"/>
      <c r="G47" s="400"/>
      <c r="H47" s="406">
        <f t="shared" si="0"/>
        <v>0</v>
      </c>
      <c r="I47" s="419">
        <f>IF($Q$1&gt;0,TGsh!E45*$M$4%+TGsh!F45*(1-$M$4%),0)</f>
        <v>0</v>
      </c>
      <c r="J47" s="56">
        <f t="shared" si="10"/>
        <v>0</v>
      </c>
      <c r="K47" s="301" t="str">
        <f>$K$12</f>
        <v xml:space="preserve">Mort + Sel Acum </v>
      </c>
      <c r="L47" s="293">
        <f>L44+L40</f>
        <v>0</v>
      </c>
      <c r="M47" s="438">
        <f>IF($M$3&gt;0,L47/$M$3,0)</f>
        <v>0</v>
      </c>
      <c r="N47" s="439">
        <f t="shared" ref="N47" ca="1" si="66">SUM(N45:N46)</f>
        <v>0</v>
      </c>
      <c r="O47" s="27"/>
      <c r="P47" s="33"/>
      <c r="Q47" s="33"/>
      <c r="R47" s="316">
        <f t="shared" si="11"/>
        <v>0</v>
      </c>
      <c r="S47" s="322"/>
      <c r="T47" s="33"/>
      <c r="U47" s="323"/>
      <c r="V47" s="324">
        <f t="shared" si="16"/>
        <v>0</v>
      </c>
      <c r="W47" s="307"/>
      <c r="X47" s="33"/>
      <c r="Y47" s="33"/>
      <c r="Z47" s="36">
        <f t="shared" si="17"/>
        <v>0</v>
      </c>
      <c r="AA47" s="370">
        <f t="shared" si="12"/>
        <v>0</v>
      </c>
      <c r="AB47" s="371">
        <f t="shared" si="1"/>
        <v>0</v>
      </c>
      <c r="AC47" s="372">
        <f t="shared" si="13"/>
        <v>0</v>
      </c>
      <c r="AD47" s="351">
        <f t="shared" si="2"/>
        <v>0</v>
      </c>
      <c r="AE47" s="502">
        <f t="shared" si="14"/>
        <v>0</v>
      </c>
      <c r="AF47" s="352">
        <f t="shared" si="48"/>
        <v>0</v>
      </c>
      <c r="AG47" s="30">
        <f t="shared" si="4"/>
        <v>0</v>
      </c>
      <c r="AH47" s="48">
        <f>IF($M$3&gt;0,TGsh!C45*$M$4%+TGsh!D45*(1-$M$4%),0)</f>
        <v>0</v>
      </c>
      <c r="AI47" s="342">
        <f>IF('Liq-Zoot'!$F$31&gt;0,AK43/1000*J47/'Liq-Zoot'!$F$31,0)</f>
        <v>0</v>
      </c>
      <c r="AJ47" s="343" t="str">
        <f>$AJ$12</f>
        <v>Fact. IP</v>
      </c>
      <c r="AK47" s="344">
        <f>IF(AK45&gt;0,AK46/AK45,0)</f>
        <v>0</v>
      </c>
      <c r="AL47" s="345">
        <f>IF(AL45&gt;0,AL46/AL45,0)</f>
        <v>0</v>
      </c>
      <c r="AM47" s="346" t="str">
        <f>IF(AK47&gt;0,(AK47-AL47)/AL47*100,"")</f>
        <v/>
      </c>
      <c r="AN47" s="50"/>
      <c r="AO47" s="16">
        <f t="shared" si="62"/>
        <v>5</v>
      </c>
      <c r="AP47" s="8">
        <f>AK40</f>
        <v>0</v>
      </c>
      <c r="AQ47" s="8">
        <f t="shared" ref="AQ47:AR47" si="67">AL40</f>
        <v>0</v>
      </c>
      <c r="AR47" s="17" t="str">
        <f t="shared" si="67"/>
        <v/>
      </c>
      <c r="AS47" s="72">
        <f t="shared" si="5"/>
        <v>0</v>
      </c>
      <c r="AT47" s="72">
        <f t="shared" si="6"/>
        <v>0</v>
      </c>
      <c r="AU47" s="72">
        <f t="shared" si="7"/>
        <v>0</v>
      </c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</row>
    <row r="48" spans="1:58" ht="15.75" customHeight="1" x14ac:dyDescent="0.25">
      <c r="A48" s="928" t="s">
        <v>26</v>
      </c>
      <c r="B48" s="52" t="str">
        <f t="shared" si="8"/>
        <v/>
      </c>
      <c r="C48" s="374">
        <f t="shared" si="9"/>
        <v>43</v>
      </c>
      <c r="D48" s="392"/>
      <c r="E48" s="393"/>
      <c r="F48" s="394"/>
      <c r="G48" s="392"/>
      <c r="H48" s="403">
        <f t="shared" si="0"/>
        <v>0</v>
      </c>
      <c r="I48" s="418">
        <f>IF($Q$1&gt;0,TGsh!E46*$M$4%+TGsh!F46*(1-$M$4%),0)</f>
        <v>0</v>
      </c>
      <c r="J48" s="55">
        <f t="shared" si="10"/>
        <v>0</v>
      </c>
      <c r="K48" s="294" t="str">
        <f>$K$6</f>
        <v>Item</v>
      </c>
      <c r="L48" s="295" t="str">
        <f>$L$6</f>
        <v>#</v>
      </c>
      <c r="M48" s="295" t="str">
        <f>$M$6</f>
        <v>Real %</v>
      </c>
      <c r="N48" s="296" t="str">
        <f t="shared" ref="N48" si="68">$N$6</f>
        <v>Guia %</v>
      </c>
      <c r="O48" s="25"/>
      <c r="P48" s="31"/>
      <c r="Q48" s="31"/>
      <c r="R48" s="314">
        <f t="shared" si="11"/>
        <v>0</v>
      </c>
      <c r="S48" s="318"/>
      <c r="T48" s="31"/>
      <c r="U48" s="319"/>
      <c r="V48" s="34">
        <f t="shared" si="16"/>
        <v>0</v>
      </c>
      <c r="W48" s="305"/>
      <c r="X48" s="31"/>
      <c r="Y48" s="31"/>
      <c r="Z48" s="34">
        <f t="shared" si="17"/>
        <v>0</v>
      </c>
      <c r="AA48" s="364">
        <f t="shared" si="12"/>
        <v>0</v>
      </c>
      <c r="AB48" s="365">
        <f t="shared" si="1"/>
        <v>0</v>
      </c>
      <c r="AC48" s="366">
        <f t="shared" si="13"/>
        <v>0</v>
      </c>
      <c r="AD48" s="325">
        <f t="shared" si="2"/>
        <v>0</v>
      </c>
      <c r="AE48" s="326">
        <f t="shared" si="14"/>
        <v>0</v>
      </c>
      <c r="AF48" s="349">
        <f t="shared" si="48"/>
        <v>0</v>
      </c>
      <c r="AG48" s="28">
        <f t="shared" si="4"/>
        <v>0</v>
      </c>
      <c r="AH48" s="46">
        <f>IF($M$3&gt;0,TGsh!C46*$M$4%+TGsh!D46*(1-$M$4%),0)</f>
        <v>0</v>
      </c>
      <c r="AI48" s="347" t="str">
        <f>$AI$6</f>
        <v>Gr. Obten.</v>
      </c>
      <c r="AJ48" s="335" t="str">
        <f>$AJ$6</f>
        <v>Cons Sem</v>
      </c>
      <c r="AK48" s="3">
        <f>IF((J54+SUM(F48:F54))&gt;0,SUM(AD48:AD54)*40000/(J54+SUM(F48:F54)),0)</f>
        <v>0</v>
      </c>
      <c r="AL48" s="41">
        <f>SUMIF($AD48:$AD54,"&gt;0",AH48:AH54)</f>
        <v>0</v>
      </c>
      <c r="AM48" s="336" t="str">
        <f>IF(AK48&gt;0,(AK48-AL48)/AL48*100,"")</f>
        <v/>
      </c>
      <c r="AN48" s="50"/>
      <c r="AO48" s="16">
        <f t="shared" si="62"/>
        <v>6</v>
      </c>
      <c r="AP48" s="8">
        <f>AK47</f>
        <v>0</v>
      </c>
      <c r="AQ48" s="8">
        <f t="shared" ref="AQ48:AR48" si="69">AL47</f>
        <v>0</v>
      </c>
      <c r="AR48" s="17" t="str">
        <f t="shared" si="69"/>
        <v/>
      </c>
      <c r="AS48" s="72">
        <f t="shared" si="5"/>
        <v>0</v>
      </c>
      <c r="AT48" s="72">
        <f t="shared" si="6"/>
        <v>0</v>
      </c>
      <c r="AU48" s="72">
        <f t="shared" si="7"/>
        <v>0</v>
      </c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1"/>
    </row>
    <row r="49" spans="1:58" ht="16.5" thickBot="1" x14ac:dyDescent="0.3">
      <c r="A49" s="929"/>
      <c r="B49" s="53" t="str">
        <f t="shared" si="8"/>
        <v/>
      </c>
      <c r="C49" s="375">
        <f t="shared" si="9"/>
        <v>44</v>
      </c>
      <c r="D49" s="395"/>
      <c r="E49" s="396"/>
      <c r="F49" s="397"/>
      <c r="G49" s="395"/>
      <c r="H49" s="404">
        <f t="shared" si="0"/>
        <v>0</v>
      </c>
      <c r="I49" s="421">
        <f>IF($Q$1&gt;0,TGsh!E47*$M$4%+TGsh!F47*(1-$M$4%),0)</f>
        <v>0</v>
      </c>
      <c r="J49" s="411">
        <f t="shared" si="10"/>
        <v>0</v>
      </c>
      <c r="K49" s="297" t="str">
        <f>$K$7</f>
        <v xml:space="preserve">Mort Sem </v>
      </c>
      <c r="L49" s="289">
        <f>SUM(D48:D54)</f>
        <v>0</v>
      </c>
      <c r="M49" s="429">
        <f>IF(J47&gt;0,L49/J47,0)</f>
        <v>0</v>
      </c>
      <c r="N49" s="430">
        <f ca="1">SUM(TGsh!G46:G52)</f>
        <v>0</v>
      </c>
      <c r="O49" s="26"/>
      <c r="P49" s="32"/>
      <c r="Q49" s="32"/>
      <c r="R49" s="315">
        <f t="shared" si="11"/>
        <v>0</v>
      </c>
      <c r="S49" s="320"/>
      <c r="T49" s="32"/>
      <c r="U49" s="321"/>
      <c r="V49" s="35">
        <f t="shared" si="16"/>
        <v>0</v>
      </c>
      <c r="W49" s="306"/>
      <c r="X49" s="32"/>
      <c r="Y49" s="32"/>
      <c r="Z49" s="35">
        <f t="shared" si="17"/>
        <v>0</v>
      </c>
      <c r="AA49" s="367">
        <f t="shared" si="12"/>
        <v>0</v>
      </c>
      <c r="AB49" s="368">
        <f t="shared" si="1"/>
        <v>0</v>
      </c>
      <c r="AC49" s="369">
        <f t="shared" si="13"/>
        <v>0</v>
      </c>
      <c r="AD49" s="327">
        <f t="shared" si="2"/>
        <v>0</v>
      </c>
      <c r="AE49" s="328">
        <f t="shared" si="14"/>
        <v>0</v>
      </c>
      <c r="AF49" s="350">
        <f t="shared" si="48"/>
        <v>0</v>
      </c>
      <c r="AG49" s="29">
        <f t="shared" si="4"/>
        <v>0</v>
      </c>
      <c r="AH49" s="47">
        <f>IF($M$3&gt;0,TGsh!C47*$M$4%+TGsh!D47*(1-$M$4%),0)</f>
        <v>0</v>
      </c>
      <c r="AI49" s="337">
        <f>IF(SUM(AD48:AD54)&gt;0,AVERAGEIF(AD48:AD54,"&gt;0",AG48:AG54),0)</f>
        <v>0</v>
      </c>
      <c r="AJ49" s="338" t="str">
        <f>$AJ$7</f>
        <v>Cons Acum</v>
      </c>
      <c r="AK49" s="339">
        <f>IF((J54+SUM(F$6:F54))&gt;0,SUM(AD$6:AD54)*40000/(J54+SUM(F$6:F54)),0)</f>
        <v>0</v>
      </c>
      <c r="AL49" s="340">
        <f>AL42+AL48</f>
        <v>0</v>
      </c>
      <c r="AM49" s="341" t="str">
        <f>IF(AK48&gt;0,(AK49-AL49)/AL49*100,"")</f>
        <v/>
      </c>
      <c r="AN49" s="50"/>
      <c r="AO49" s="16">
        <f t="shared" si="62"/>
        <v>7</v>
      </c>
      <c r="AP49" s="8">
        <f>AK54</f>
        <v>0</v>
      </c>
      <c r="AQ49" s="8">
        <f t="shared" ref="AQ49:AR49" si="70">AL54</f>
        <v>0</v>
      </c>
      <c r="AR49" s="17" t="str">
        <f t="shared" si="70"/>
        <v/>
      </c>
      <c r="AS49" s="72">
        <f t="shared" si="5"/>
        <v>0</v>
      </c>
      <c r="AT49" s="72">
        <f t="shared" si="6"/>
        <v>0</v>
      </c>
      <c r="AU49" s="72">
        <f t="shared" si="7"/>
        <v>0</v>
      </c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1"/>
    </row>
    <row r="50" spans="1:58" ht="16.5" thickBot="1" x14ac:dyDescent="0.3">
      <c r="A50" s="929"/>
      <c r="B50" s="53" t="str">
        <f t="shared" si="8"/>
        <v/>
      </c>
      <c r="C50" s="375">
        <f t="shared" si="9"/>
        <v>45</v>
      </c>
      <c r="D50" s="395"/>
      <c r="E50" s="396"/>
      <c r="F50" s="397"/>
      <c r="G50" s="395"/>
      <c r="H50" s="404">
        <f t="shared" si="0"/>
        <v>0</v>
      </c>
      <c r="I50" s="421">
        <f>IF($Q$1&gt;0,TGsh!E48*$M$4%+TGsh!F48*(1-$M$4%),0)</f>
        <v>0</v>
      </c>
      <c r="J50" s="411">
        <f t="shared" si="10"/>
        <v>0</v>
      </c>
      <c r="K50" s="298" t="str">
        <f>$K$8</f>
        <v xml:space="preserve">Sel Sem </v>
      </c>
      <c r="L50" s="290">
        <f>SUM(E48:E54)</f>
        <v>0</v>
      </c>
      <c r="M50" s="431">
        <f>IF(J47&gt;0,L50/J47,0)</f>
        <v>0</v>
      </c>
      <c r="N50" s="432">
        <v>0</v>
      </c>
      <c r="O50" s="26"/>
      <c r="P50" s="32"/>
      <c r="Q50" s="32"/>
      <c r="R50" s="315">
        <f t="shared" si="11"/>
        <v>0</v>
      </c>
      <c r="S50" s="320"/>
      <c r="T50" s="32"/>
      <c r="U50" s="321"/>
      <c r="V50" s="35">
        <f t="shared" si="16"/>
        <v>0</v>
      </c>
      <c r="W50" s="306"/>
      <c r="X50" s="32"/>
      <c r="Y50" s="32"/>
      <c r="Z50" s="35">
        <f t="shared" si="17"/>
        <v>0</v>
      </c>
      <c r="AA50" s="367">
        <f t="shared" si="12"/>
        <v>0</v>
      </c>
      <c r="AB50" s="368">
        <f t="shared" si="1"/>
        <v>0</v>
      </c>
      <c r="AC50" s="369">
        <f t="shared" si="13"/>
        <v>0</v>
      </c>
      <c r="AD50" s="327">
        <f t="shared" si="2"/>
        <v>0</v>
      </c>
      <c r="AE50" s="328">
        <f t="shared" si="14"/>
        <v>0</v>
      </c>
      <c r="AF50" s="350">
        <f t="shared" si="48"/>
        <v>0</v>
      </c>
      <c r="AG50" s="29">
        <f t="shared" si="4"/>
        <v>0</v>
      </c>
      <c r="AH50" s="47">
        <f>IF($M$3&gt;0,TGsh!C48*$M$4%+TGsh!D48*(1-$M$4%),0)</f>
        <v>0</v>
      </c>
      <c r="AI50" s="40" t="str">
        <f>$AI$8</f>
        <v>Gr. Guía</v>
      </c>
      <c r="AJ50" s="4" t="str">
        <f>$AJ$8</f>
        <v>Peso Sem</v>
      </c>
      <c r="AK50" s="332">
        <f>IF(SUM($F48:$F54)&gt;0,SUMPRODUCT($F48:$F54,H48:H54)/SUM($F48:$F54),0)</f>
        <v>0</v>
      </c>
      <c r="AL50" s="42">
        <f>IF($Q$1&gt;0,I54,0)</f>
        <v>0</v>
      </c>
      <c r="AM50" s="9" t="str">
        <f>IF(AK50&gt;0,(AK50-AL50)/AL50*100,"")</f>
        <v/>
      </c>
      <c r="AN50" s="50"/>
      <c r="AO50" s="18">
        <f t="shared" si="62"/>
        <v>8</v>
      </c>
      <c r="AP50" s="22">
        <f>AK61</f>
        <v>0</v>
      </c>
      <c r="AQ50" s="22">
        <f t="shared" ref="AQ50:AR50" si="71">AL61</f>
        <v>0</v>
      </c>
      <c r="AR50" s="23" t="str">
        <f t="shared" si="71"/>
        <v/>
      </c>
      <c r="AS50" s="72">
        <f t="shared" si="5"/>
        <v>0</v>
      </c>
      <c r="AT50" s="72">
        <f t="shared" si="6"/>
        <v>0</v>
      </c>
      <c r="AU50" s="72">
        <f t="shared" si="7"/>
        <v>0</v>
      </c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1"/>
    </row>
    <row r="51" spans="1:58" ht="15.75" x14ac:dyDescent="0.25">
      <c r="A51" s="929"/>
      <c r="B51" s="53" t="str">
        <f t="shared" si="8"/>
        <v/>
      </c>
      <c r="C51" s="375">
        <f t="shared" si="9"/>
        <v>46</v>
      </c>
      <c r="D51" s="395"/>
      <c r="E51" s="396"/>
      <c r="F51" s="397"/>
      <c r="G51" s="395"/>
      <c r="H51" s="404">
        <f t="shared" si="0"/>
        <v>0</v>
      </c>
      <c r="I51" s="421">
        <f>IF($Q$1&gt;0,TGsh!E49*$M$4%+TGsh!F49*(1-$M$4%),0)</f>
        <v>0</v>
      </c>
      <c r="J51" s="411">
        <f t="shared" si="10"/>
        <v>0</v>
      </c>
      <c r="K51" s="299" t="str">
        <f>$K$9</f>
        <v xml:space="preserve">Mort + Sel Sem </v>
      </c>
      <c r="L51" s="291">
        <f>SUM(L49:L50)</f>
        <v>0</v>
      </c>
      <c r="M51" s="433">
        <f>IF(J47&gt;0,L51/J47,0)</f>
        <v>0</v>
      </c>
      <c r="N51" s="434">
        <f t="shared" ref="N51" ca="1" si="72">SUM(N49:N50)</f>
        <v>0</v>
      </c>
      <c r="O51" s="26"/>
      <c r="P51" s="32"/>
      <c r="Q51" s="32"/>
      <c r="R51" s="315">
        <f t="shared" si="11"/>
        <v>0</v>
      </c>
      <c r="S51" s="320"/>
      <c r="T51" s="32"/>
      <c r="U51" s="321"/>
      <c r="V51" s="35">
        <f t="shared" si="16"/>
        <v>0</v>
      </c>
      <c r="W51" s="306"/>
      <c r="X51" s="32"/>
      <c r="Y51" s="32"/>
      <c r="Z51" s="35">
        <f t="shared" si="17"/>
        <v>0</v>
      </c>
      <c r="AA51" s="367">
        <f t="shared" si="12"/>
        <v>0</v>
      </c>
      <c r="AB51" s="368">
        <f t="shared" si="1"/>
        <v>0</v>
      </c>
      <c r="AC51" s="369">
        <f t="shared" si="13"/>
        <v>0</v>
      </c>
      <c r="AD51" s="327">
        <f t="shared" si="2"/>
        <v>0</v>
      </c>
      <c r="AE51" s="328">
        <f t="shared" si="14"/>
        <v>0</v>
      </c>
      <c r="AF51" s="350">
        <f t="shared" si="48"/>
        <v>0</v>
      </c>
      <c r="AG51" s="29">
        <f t="shared" si="4"/>
        <v>0</v>
      </c>
      <c r="AH51" s="47">
        <f>IF($M$3&gt;0,TGsh!C49*$M$4%+TGsh!D49*(1-$M$4%),0)</f>
        <v>0</v>
      </c>
      <c r="AI51" s="337">
        <f>IF(SUM(AD48:AD54)&gt;0,AVERAGEIF(AD48:AD54,"&gt;0",AH48:AH54),0)</f>
        <v>0</v>
      </c>
      <c r="AJ51" s="5" t="str">
        <f t="shared" ref="AJ51" si="73">AJ44</f>
        <v>Gan Dia</v>
      </c>
      <c r="AK51" s="6">
        <f>IF(AND(AK43&gt;0,AK50&gt;0),(AK50-AK43)/(COUNTIF(AD48:AD54,"&gt;0")),0)</f>
        <v>0</v>
      </c>
      <c r="AL51" s="43">
        <f>IF(AND(AL43&gt;0,AL50&gt;0,COUNTIF(AD48:AD54,"&gt;0")),(AL50-AL43)/COUNTIF(AD48:AD54,"&gt;0"),0)</f>
        <v>0</v>
      </c>
      <c r="AM51" s="10" t="str">
        <f>IF(AK51&gt;0,(AK51-AL51)/AL51*100,"")</f>
        <v/>
      </c>
      <c r="AN51" s="354"/>
      <c r="AO51" s="354"/>
      <c r="AP51" s="50"/>
      <c r="AQ51" s="50"/>
      <c r="AR51" s="50"/>
      <c r="AS51" s="72">
        <f t="shared" si="5"/>
        <v>0</v>
      </c>
      <c r="AT51" s="72">
        <f t="shared" si="6"/>
        <v>0</v>
      </c>
      <c r="AU51" s="72">
        <f t="shared" si="7"/>
        <v>0</v>
      </c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1"/>
    </row>
    <row r="52" spans="1:58" ht="15.75" customHeight="1" x14ac:dyDescent="0.25">
      <c r="A52" s="929"/>
      <c r="B52" s="53" t="str">
        <f t="shared" si="8"/>
        <v/>
      </c>
      <c r="C52" s="375">
        <f t="shared" si="9"/>
        <v>47</v>
      </c>
      <c r="D52" s="395"/>
      <c r="E52" s="396"/>
      <c r="F52" s="397"/>
      <c r="G52" s="395"/>
      <c r="H52" s="404">
        <f t="shared" si="0"/>
        <v>0</v>
      </c>
      <c r="I52" s="421">
        <f>IF($Q$1&gt;0,TGsh!E50*$M$4%+TGsh!F50*(1-$M$4%),0)</f>
        <v>0</v>
      </c>
      <c r="J52" s="411">
        <f t="shared" si="10"/>
        <v>0</v>
      </c>
      <c r="K52" s="300" t="str">
        <f>$K$10</f>
        <v xml:space="preserve">Mort Acum </v>
      </c>
      <c r="L52" s="292">
        <f>L49+L45</f>
        <v>0</v>
      </c>
      <c r="M52" s="435">
        <f>IF($M$3&gt;0,L52/$M$3,0)</f>
        <v>0</v>
      </c>
      <c r="N52" s="436">
        <f ca="1">TGsh!H52</f>
        <v>0</v>
      </c>
      <c r="O52" s="26"/>
      <c r="P52" s="32"/>
      <c r="Q52" s="32"/>
      <c r="R52" s="315">
        <f t="shared" si="11"/>
        <v>0</v>
      </c>
      <c r="S52" s="320"/>
      <c r="T52" s="32"/>
      <c r="U52" s="321"/>
      <c r="V52" s="35">
        <f t="shared" si="16"/>
        <v>0</v>
      </c>
      <c r="W52" s="306"/>
      <c r="X52" s="32"/>
      <c r="Y52" s="32"/>
      <c r="Z52" s="35">
        <f t="shared" si="17"/>
        <v>0</v>
      </c>
      <c r="AA52" s="367">
        <f t="shared" si="12"/>
        <v>0</v>
      </c>
      <c r="AB52" s="368">
        <f t="shared" si="1"/>
        <v>0</v>
      </c>
      <c r="AC52" s="369">
        <f t="shared" si="13"/>
        <v>0</v>
      </c>
      <c r="AD52" s="327">
        <f t="shared" si="2"/>
        <v>0</v>
      </c>
      <c r="AE52" s="328">
        <f t="shared" si="14"/>
        <v>0</v>
      </c>
      <c r="AF52" s="350">
        <f t="shared" si="48"/>
        <v>0</v>
      </c>
      <c r="AG52" s="29">
        <f t="shared" si="4"/>
        <v>0</v>
      </c>
      <c r="AH52" s="47">
        <f>IF($M$3&gt;0,TGsh!C50*$M$4%+TGsh!D50*(1-$M$4%),0)</f>
        <v>0</v>
      </c>
      <c r="AI52" s="891" t="s">
        <v>46</v>
      </c>
      <c r="AJ52" s="7" t="str">
        <f>$AJ$10</f>
        <v>Conversión</v>
      </c>
      <c r="AK52" s="13">
        <f>IF(AK50&gt;0,AK49/AK50,0)</f>
        <v>0</v>
      </c>
      <c r="AL52" s="44">
        <f>IF(AL50&gt;0,AL49/AL50,0)</f>
        <v>0</v>
      </c>
      <c r="AM52" s="11" t="str">
        <f>IF(AK50&gt;0,-(AK52-AL52)/AL52*100,"")</f>
        <v/>
      </c>
      <c r="AN52" s="50"/>
      <c r="AO52" s="50"/>
      <c r="AP52" s="50"/>
      <c r="AQ52" s="50"/>
      <c r="AR52" s="50"/>
      <c r="AS52" s="72">
        <f t="shared" si="5"/>
        <v>0</v>
      </c>
      <c r="AT52" s="72">
        <f t="shared" si="6"/>
        <v>0</v>
      </c>
      <c r="AU52" s="72">
        <f t="shared" si="7"/>
        <v>0</v>
      </c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1"/>
    </row>
    <row r="53" spans="1:58" ht="15.75" x14ac:dyDescent="0.25">
      <c r="A53" s="929"/>
      <c r="B53" s="53" t="str">
        <f t="shared" si="8"/>
        <v/>
      </c>
      <c r="C53" s="375">
        <f t="shared" si="9"/>
        <v>48</v>
      </c>
      <c r="D53" s="395"/>
      <c r="E53" s="396"/>
      <c r="F53" s="397"/>
      <c r="G53" s="409"/>
      <c r="H53" s="405">
        <f t="shared" si="0"/>
        <v>0</v>
      </c>
      <c r="I53" s="420">
        <f>IF($Q$1&gt;0,TGsh!E51*$M$4%+TGsh!F51*(1-$M$4%),0)</f>
        <v>0</v>
      </c>
      <c r="J53" s="412">
        <f t="shared" si="10"/>
        <v>0</v>
      </c>
      <c r="K53" s="298" t="str">
        <f>$K$11</f>
        <v xml:space="preserve">Sel Acum </v>
      </c>
      <c r="L53" s="290">
        <f>L50+L46</f>
        <v>0</v>
      </c>
      <c r="M53" s="431">
        <f>IF($M$3&gt;0,L53/$M$3,0)</f>
        <v>0</v>
      </c>
      <c r="N53" s="437">
        <f t="shared" ref="N53" si="74">N50+N46</f>
        <v>0</v>
      </c>
      <c r="O53" s="26"/>
      <c r="P53" s="32"/>
      <c r="Q53" s="32"/>
      <c r="R53" s="315">
        <f t="shared" si="11"/>
        <v>0</v>
      </c>
      <c r="S53" s="320"/>
      <c r="T53" s="32"/>
      <c r="U53" s="321"/>
      <c r="V53" s="35">
        <f t="shared" si="16"/>
        <v>0</v>
      </c>
      <c r="W53" s="306"/>
      <c r="X53" s="32"/>
      <c r="Y53" s="32"/>
      <c r="Z53" s="35">
        <f t="shared" si="17"/>
        <v>0</v>
      </c>
      <c r="AA53" s="367">
        <f t="shared" si="12"/>
        <v>0</v>
      </c>
      <c r="AB53" s="368">
        <f t="shared" si="1"/>
        <v>0</v>
      </c>
      <c r="AC53" s="369">
        <f t="shared" si="13"/>
        <v>0</v>
      </c>
      <c r="AD53" s="327">
        <f t="shared" si="2"/>
        <v>0</v>
      </c>
      <c r="AE53" s="328">
        <f t="shared" si="14"/>
        <v>0</v>
      </c>
      <c r="AF53" s="350">
        <f t="shared" si="48"/>
        <v>0</v>
      </c>
      <c r="AG53" s="29">
        <f t="shared" si="4"/>
        <v>0</v>
      </c>
      <c r="AH53" s="47">
        <f>IF($M$3&gt;0,TGsh!C51*$M$4%+TGsh!D51*(1-$M$4%),0)</f>
        <v>0</v>
      </c>
      <c r="AI53" s="892"/>
      <c r="AJ53" s="7" t="str">
        <f>$AJ$11</f>
        <v>Ef. Alim</v>
      </c>
      <c r="AK53" s="12">
        <f>IF(AK52&gt;0,AK50/AK52/10,0)</f>
        <v>0</v>
      </c>
      <c r="AL53" s="45">
        <f>IF(AL52&gt;0,AL50/AL52/10,0)</f>
        <v>0</v>
      </c>
      <c r="AM53" s="11" t="str">
        <f>IF(AK53&gt;0,(AK53-AL53)/AL53*100,"")</f>
        <v/>
      </c>
      <c r="AN53" s="50"/>
      <c r="AO53" s="50"/>
      <c r="AP53" s="50"/>
      <c r="AQ53" s="50"/>
      <c r="AR53" s="50"/>
      <c r="AS53" s="72">
        <f t="shared" si="5"/>
        <v>0</v>
      </c>
      <c r="AT53" s="72">
        <f t="shared" si="6"/>
        <v>0</v>
      </c>
      <c r="AU53" s="72">
        <f t="shared" si="7"/>
        <v>0</v>
      </c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1"/>
    </row>
    <row r="54" spans="1:58" ht="16.5" thickBot="1" x14ac:dyDescent="0.3">
      <c r="A54" s="930"/>
      <c r="B54" s="54" t="str">
        <f t="shared" si="8"/>
        <v/>
      </c>
      <c r="C54" s="376">
        <f t="shared" si="9"/>
        <v>49</v>
      </c>
      <c r="D54" s="400"/>
      <c r="E54" s="401"/>
      <c r="F54" s="402"/>
      <c r="G54" s="400"/>
      <c r="H54" s="406">
        <f t="shared" si="0"/>
        <v>0</v>
      </c>
      <c r="I54" s="419">
        <f>IF($Q$1&gt;0,TGsh!E52*$M$4%+TGsh!F52*(1-$M$4%),0)</f>
        <v>0</v>
      </c>
      <c r="J54" s="56">
        <f t="shared" si="10"/>
        <v>0</v>
      </c>
      <c r="K54" s="301" t="str">
        <f>$K$12</f>
        <v xml:space="preserve">Mort + Sel Acum </v>
      </c>
      <c r="L54" s="293">
        <f>L51+L47</f>
        <v>0</v>
      </c>
      <c r="M54" s="438">
        <f>IF($M$3&gt;0,L54/$M$3,0)</f>
        <v>0</v>
      </c>
      <c r="N54" s="439">
        <f t="shared" ref="N54" ca="1" si="75">SUM(N52:N53)</f>
        <v>0</v>
      </c>
      <c r="O54" s="27"/>
      <c r="P54" s="33"/>
      <c r="Q54" s="33"/>
      <c r="R54" s="316">
        <f t="shared" si="11"/>
        <v>0</v>
      </c>
      <c r="S54" s="322"/>
      <c r="T54" s="33"/>
      <c r="U54" s="323"/>
      <c r="V54" s="324">
        <f t="shared" si="16"/>
        <v>0</v>
      </c>
      <c r="W54" s="307"/>
      <c r="X54" s="33"/>
      <c r="Y54" s="33"/>
      <c r="Z54" s="36">
        <f t="shared" si="17"/>
        <v>0</v>
      </c>
      <c r="AA54" s="370">
        <f t="shared" si="12"/>
        <v>0</v>
      </c>
      <c r="AB54" s="371">
        <f t="shared" si="1"/>
        <v>0</v>
      </c>
      <c r="AC54" s="372">
        <f t="shared" si="13"/>
        <v>0</v>
      </c>
      <c r="AD54" s="351">
        <f t="shared" si="2"/>
        <v>0</v>
      </c>
      <c r="AE54" s="502">
        <f t="shared" si="14"/>
        <v>0</v>
      </c>
      <c r="AF54" s="352">
        <f t="shared" si="48"/>
        <v>0</v>
      </c>
      <c r="AG54" s="30">
        <f t="shared" si="4"/>
        <v>0</v>
      </c>
      <c r="AH54" s="48">
        <f>IF($M$3&gt;0,TGsh!C52*$M$4%+TGsh!D52*(1-$M$4%),0)</f>
        <v>0</v>
      </c>
      <c r="AI54" s="342">
        <f>IF('Liq-Zoot'!$F$31&gt;0,AK50/1000*J54/'Liq-Zoot'!$F$31,0)</f>
        <v>0</v>
      </c>
      <c r="AJ54" s="343" t="str">
        <f>$AJ$12</f>
        <v>Fact. IP</v>
      </c>
      <c r="AK54" s="344">
        <f>IF(AK52&gt;0,AK53/AK52,0)</f>
        <v>0</v>
      </c>
      <c r="AL54" s="345">
        <f>IF(AL52&gt;0,AL53/AL52,0)</f>
        <v>0</v>
      </c>
      <c r="AM54" s="346" t="str">
        <f>IF(AK54&gt;0,(AK54-AL54)/AL54*100,"")</f>
        <v/>
      </c>
      <c r="AN54" s="50"/>
      <c r="AO54" s="50"/>
      <c r="AP54" s="50"/>
      <c r="AQ54" s="50"/>
      <c r="AR54" s="50"/>
      <c r="AS54" s="72">
        <f t="shared" si="5"/>
        <v>0</v>
      </c>
      <c r="AT54" s="72">
        <f t="shared" si="6"/>
        <v>0</v>
      </c>
      <c r="AU54" s="72">
        <f t="shared" si="7"/>
        <v>0</v>
      </c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1"/>
    </row>
    <row r="55" spans="1:58" ht="15.75" customHeight="1" x14ac:dyDescent="0.25">
      <c r="A55" s="928" t="s">
        <v>31</v>
      </c>
      <c r="B55" s="52" t="str">
        <f t="shared" si="8"/>
        <v/>
      </c>
      <c r="C55" s="374">
        <f t="shared" si="9"/>
        <v>50</v>
      </c>
      <c r="D55" s="392"/>
      <c r="E55" s="393"/>
      <c r="F55" s="394"/>
      <c r="G55" s="392"/>
      <c r="H55" s="403">
        <f t="shared" si="0"/>
        <v>0</v>
      </c>
      <c r="I55" s="418">
        <f>IF($Q$1&gt;0,TGsh!E53*$M$4%+TGsh!F53*(1-$M$4%),0)</f>
        <v>0</v>
      </c>
      <c r="J55" s="55">
        <f t="shared" si="10"/>
        <v>0</v>
      </c>
      <c r="K55" s="294" t="str">
        <f>$K$6</f>
        <v>Item</v>
      </c>
      <c r="L55" s="295" t="str">
        <f>$L$6</f>
        <v>#</v>
      </c>
      <c r="M55" s="295" t="str">
        <f>$M$6</f>
        <v>Real %</v>
      </c>
      <c r="N55" s="296" t="str">
        <f t="shared" ref="N55" si="76">$N$6</f>
        <v>Guia %</v>
      </c>
      <c r="O55" s="25"/>
      <c r="P55" s="31"/>
      <c r="Q55" s="31"/>
      <c r="R55" s="314">
        <f t="shared" si="11"/>
        <v>0</v>
      </c>
      <c r="S55" s="318"/>
      <c r="T55" s="31"/>
      <c r="U55" s="319"/>
      <c r="V55" s="34">
        <f t="shared" si="16"/>
        <v>0</v>
      </c>
      <c r="W55" s="305"/>
      <c r="X55" s="31"/>
      <c r="Y55" s="31"/>
      <c r="Z55" s="34">
        <f t="shared" si="17"/>
        <v>0</v>
      </c>
      <c r="AA55" s="364">
        <f t="shared" si="12"/>
        <v>0</v>
      </c>
      <c r="AB55" s="365">
        <f t="shared" si="1"/>
        <v>0</v>
      </c>
      <c r="AC55" s="366">
        <f t="shared" si="13"/>
        <v>0</v>
      </c>
      <c r="AD55" s="325">
        <f t="shared" si="2"/>
        <v>0</v>
      </c>
      <c r="AE55" s="326">
        <f t="shared" si="14"/>
        <v>0</v>
      </c>
      <c r="AF55" s="349">
        <f t="shared" si="48"/>
        <v>0</v>
      </c>
      <c r="AG55" s="28">
        <f t="shared" si="4"/>
        <v>0</v>
      </c>
      <c r="AH55" s="46">
        <f>IF($M$3&gt;0,TGsh!C53*$M$4%+TGsh!D53*(1-$M$4%),0)</f>
        <v>0</v>
      </c>
      <c r="AI55" s="347" t="str">
        <f>$AI$6</f>
        <v>Gr. Obten.</v>
      </c>
      <c r="AJ55" s="335" t="str">
        <f>$AJ$6</f>
        <v>Cons Sem</v>
      </c>
      <c r="AK55" s="3">
        <f>IF((J61+SUM(F55:F61))&gt;0,SUM(AD55:AD61)*40000/(J61+SUM(F55:F61)),0)</f>
        <v>0</v>
      </c>
      <c r="AL55" s="41">
        <f>SUMIF($AD55:$AD61,"&gt;0",AH55:AH61)</f>
        <v>0</v>
      </c>
      <c r="AM55" s="336" t="str">
        <f>IF(AK55&gt;0,(AK55-AL55)/AL55*100,"")</f>
        <v/>
      </c>
      <c r="AN55" s="50"/>
      <c r="AO55" s="50"/>
      <c r="AP55" s="50"/>
      <c r="AQ55" s="50"/>
      <c r="AR55" s="50"/>
      <c r="AS55" s="72">
        <f t="shared" si="5"/>
        <v>0</v>
      </c>
      <c r="AT55" s="72">
        <f t="shared" si="6"/>
        <v>0</v>
      </c>
      <c r="AU55" s="72">
        <f t="shared" si="7"/>
        <v>0</v>
      </c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1"/>
    </row>
    <row r="56" spans="1:58" ht="16.5" thickBot="1" x14ac:dyDescent="0.3">
      <c r="A56" s="929"/>
      <c r="B56" s="53" t="str">
        <f t="shared" si="8"/>
        <v/>
      </c>
      <c r="C56" s="375">
        <f t="shared" si="9"/>
        <v>51</v>
      </c>
      <c r="D56" s="395"/>
      <c r="E56" s="396"/>
      <c r="F56" s="397"/>
      <c r="G56" s="395"/>
      <c r="H56" s="404">
        <f t="shared" si="0"/>
        <v>0</v>
      </c>
      <c r="I56" s="421">
        <f>IF($Q$1&gt;0,TGsh!E54*$M$4%+TGsh!F54*(1-$M$4%),0)</f>
        <v>0</v>
      </c>
      <c r="J56" s="411">
        <f t="shared" si="10"/>
        <v>0</v>
      </c>
      <c r="K56" s="297" t="str">
        <f>$K$7</f>
        <v xml:space="preserve">Mort Sem </v>
      </c>
      <c r="L56" s="289">
        <f>SUM(D55:D61)</f>
        <v>0</v>
      </c>
      <c r="M56" s="429">
        <f>IF(J54&gt;0,L56/J54,0)</f>
        <v>0</v>
      </c>
      <c r="N56" s="430">
        <f ca="1">SUM(TGsh!G53:G59)</f>
        <v>0</v>
      </c>
      <c r="O56" s="26"/>
      <c r="P56" s="32"/>
      <c r="Q56" s="32"/>
      <c r="R56" s="315">
        <f t="shared" si="11"/>
        <v>0</v>
      </c>
      <c r="S56" s="320"/>
      <c r="T56" s="32"/>
      <c r="U56" s="321"/>
      <c r="V56" s="35">
        <f t="shared" si="16"/>
        <v>0</v>
      </c>
      <c r="W56" s="306"/>
      <c r="X56" s="32"/>
      <c r="Y56" s="32"/>
      <c r="Z56" s="35">
        <f t="shared" si="17"/>
        <v>0</v>
      </c>
      <c r="AA56" s="367">
        <f t="shared" si="12"/>
        <v>0</v>
      </c>
      <c r="AB56" s="368">
        <f t="shared" si="1"/>
        <v>0</v>
      </c>
      <c r="AC56" s="369">
        <f t="shared" si="13"/>
        <v>0</v>
      </c>
      <c r="AD56" s="327">
        <f t="shared" si="2"/>
        <v>0</v>
      </c>
      <c r="AE56" s="328">
        <f t="shared" si="14"/>
        <v>0</v>
      </c>
      <c r="AF56" s="350">
        <f t="shared" si="48"/>
        <v>0</v>
      </c>
      <c r="AG56" s="29">
        <f t="shared" si="4"/>
        <v>0</v>
      </c>
      <c r="AH56" s="47">
        <f>IF($M$3&gt;0,TGsh!C54*$M$4%+TGsh!D54*(1-$M$4%),0)</f>
        <v>0</v>
      </c>
      <c r="AI56" s="337">
        <f>IF(SUM(AD55:AD61)&gt;0,AVERAGEIF(AD55:AD61,"&gt;0",AG55:AG61),0)</f>
        <v>0</v>
      </c>
      <c r="AJ56" s="338" t="str">
        <f>$AJ$7</f>
        <v>Cons Acum</v>
      </c>
      <c r="AK56" s="339">
        <f>IF((J61+SUM(F$6:F61))&gt;0,SUM(AD$6:AD61)*40000/(J61+SUM(F$6:F61)),0)</f>
        <v>0</v>
      </c>
      <c r="AL56" s="340">
        <f>AL49+AL55</f>
        <v>0</v>
      </c>
      <c r="AM56" s="341" t="str">
        <f>IF(AK55&gt;0,(AK56-AL56)/AL56*100,"")</f>
        <v/>
      </c>
      <c r="AN56" s="50"/>
      <c r="AO56" s="50"/>
      <c r="AP56" s="50"/>
      <c r="AQ56" s="50"/>
      <c r="AR56" s="50"/>
      <c r="AS56" s="72">
        <f t="shared" si="5"/>
        <v>0</v>
      </c>
      <c r="AT56" s="72">
        <f t="shared" si="6"/>
        <v>0</v>
      </c>
      <c r="AU56" s="72">
        <f t="shared" si="7"/>
        <v>0</v>
      </c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1"/>
    </row>
    <row r="57" spans="1:58" ht="16.5" thickBot="1" x14ac:dyDescent="0.3">
      <c r="A57" s="929"/>
      <c r="B57" s="53" t="str">
        <f t="shared" si="8"/>
        <v/>
      </c>
      <c r="C57" s="375">
        <f t="shared" si="9"/>
        <v>52</v>
      </c>
      <c r="D57" s="395"/>
      <c r="E57" s="396"/>
      <c r="F57" s="397"/>
      <c r="G57" s="395"/>
      <c r="H57" s="404">
        <f t="shared" si="0"/>
        <v>0</v>
      </c>
      <c r="I57" s="421">
        <f>IF($Q$1&gt;0,TGsh!E55*$M$4%+TGsh!F55*(1-$M$4%),0)</f>
        <v>0</v>
      </c>
      <c r="J57" s="411">
        <f t="shared" si="10"/>
        <v>0</v>
      </c>
      <c r="K57" s="298" t="str">
        <f>$K$8</f>
        <v xml:space="preserve">Sel Sem </v>
      </c>
      <c r="L57" s="290">
        <f>SUM(E55:E61)</f>
        <v>0</v>
      </c>
      <c r="M57" s="431">
        <f>IF(J54&gt;0,L57/J54,0)</f>
        <v>0</v>
      </c>
      <c r="N57" s="432">
        <v>0</v>
      </c>
      <c r="O57" s="26"/>
      <c r="P57" s="32"/>
      <c r="Q57" s="32"/>
      <c r="R57" s="315">
        <f t="shared" si="11"/>
        <v>0</v>
      </c>
      <c r="S57" s="320"/>
      <c r="T57" s="32"/>
      <c r="U57" s="321"/>
      <c r="V57" s="35">
        <f t="shared" si="16"/>
        <v>0</v>
      </c>
      <c r="W57" s="306"/>
      <c r="X57" s="32"/>
      <c r="Y57" s="32"/>
      <c r="Z57" s="35">
        <f t="shared" si="17"/>
        <v>0</v>
      </c>
      <c r="AA57" s="367">
        <f t="shared" si="12"/>
        <v>0</v>
      </c>
      <c r="AB57" s="368">
        <f t="shared" si="1"/>
        <v>0</v>
      </c>
      <c r="AC57" s="369">
        <f t="shared" si="13"/>
        <v>0</v>
      </c>
      <c r="AD57" s="327">
        <f t="shared" si="2"/>
        <v>0</v>
      </c>
      <c r="AE57" s="328">
        <f t="shared" si="14"/>
        <v>0</v>
      </c>
      <c r="AF57" s="350">
        <f t="shared" si="48"/>
        <v>0</v>
      </c>
      <c r="AG57" s="29">
        <f t="shared" si="4"/>
        <v>0</v>
      </c>
      <c r="AH57" s="47">
        <f>IF($M$3&gt;0,TGsh!C55*$M$4%+TGsh!D55*(1-$M$4%),0)</f>
        <v>0</v>
      </c>
      <c r="AI57" s="40" t="str">
        <f>$AI$8</f>
        <v>Gr. Guía</v>
      </c>
      <c r="AJ57" s="4" t="str">
        <f>$AJ$8</f>
        <v>Peso Sem</v>
      </c>
      <c r="AK57" s="332">
        <f>IF(SUM($F55:$F61)&gt;0,SUMPRODUCT($F55:$F61,H55:H61)/SUM($F55:$F61),0)</f>
        <v>0</v>
      </c>
      <c r="AL57" s="42">
        <f>IF($Q$1&gt;0,I61,0)</f>
        <v>0</v>
      </c>
      <c r="AM57" s="9" t="str">
        <f>IF(AK57&gt;0,(AK57-AL57)/AL57*100,"")</f>
        <v/>
      </c>
      <c r="AN57" s="50"/>
      <c r="AO57" s="50"/>
      <c r="AP57" s="50"/>
      <c r="AQ57" s="50"/>
      <c r="AR57" s="50"/>
      <c r="AS57" s="72">
        <f t="shared" si="5"/>
        <v>0</v>
      </c>
      <c r="AT57" s="72">
        <f t="shared" si="6"/>
        <v>0</v>
      </c>
      <c r="AU57" s="72">
        <f t="shared" si="7"/>
        <v>0</v>
      </c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1"/>
    </row>
    <row r="58" spans="1:58" ht="15.75" x14ac:dyDescent="0.25">
      <c r="A58" s="929"/>
      <c r="B58" s="53" t="str">
        <f t="shared" si="8"/>
        <v/>
      </c>
      <c r="C58" s="375">
        <f t="shared" si="9"/>
        <v>53</v>
      </c>
      <c r="D58" s="395"/>
      <c r="E58" s="396"/>
      <c r="F58" s="397"/>
      <c r="G58" s="395"/>
      <c r="H58" s="404">
        <f t="shared" si="0"/>
        <v>0</v>
      </c>
      <c r="I58" s="421">
        <f>IF($Q$1&gt;0,TGsh!E56*$M$4%+TGsh!F56*(1-$M$4%),0)</f>
        <v>0</v>
      </c>
      <c r="J58" s="411">
        <f t="shared" si="10"/>
        <v>0</v>
      </c>
      <c r="K58" s="299" t="str">
        <f>$K$9</f>
        <v xml:space="preserve">Mort + Sel Sem </v>
      </c>
      <c r="L58" s="291">
        <f>SUM(L56:L57)</f>
        <v>0</v>
      </c>
      <c r="M58" s="433">
        <f>IF(J54&gt;0,L58/J54,0)</f>
        <v>0</v>
      </c>
      <c r="N58" s="434">
        <f t="shared" ref="N58" ca="1" si="77">SUM(N56:N57)</f>
        <v>0</v>
      </c>
      <c r="O58" s="26"/>
      <c r="P58" s="32"/>
      <c r="Q58" s="32"/>
      <c r="R58" s="315">
        <f t="shared" si="11"/>
        <v>0</v>
      </c>
      <c r="S58" s="320"/>
      <c r="T58" s="32"/>
      <c r="U58" s="321"/>
      <c r="V58" s="35">
        <f t="shared" si="16"/>
        <v>0</v>
      </c>
      <c r="W58" s="306"/>
      <c r="X58" s="32"/>
      <c r="Y58" s="32"/>
      <c r="Z58" s="35">
        <f t="shared" si="17"/>
        <v>0</v>
      </c>
      <c r="AA58" s="367">
        <f t="shared" si="12"/>
        <v>0</v>
      </c>
      <c r="AB58" s="368">
        <f t="shared" si="1"/>
        <v>0</v>
      </c>
      <c r="AC58" s="369">
        <f t="shared" si="13"/>
        <v>0</v>
      </c>
      <c r="AD58" s="327">
        <f t="shared" si="2"/>
        <v>0</v>
      </c>
      <c r="AE58" s="328">
        <f t="shared" si="14"/>
        <v>0</v>
      </c>
      <c r="AF58" s="350">
        <f t="shared" si="48"/>
        <v>0</v>
      </c>
      <c r="AG58" s="29">
        <f t="shared" si="4"/>
        <v>0</v>
      </c>
      <c r="AH58" s="47">
        <f>IF($M$3&gt;0,TGsh!C56*$M$4%+TGsh!D56*(1-$M$4%),0)</f>
        <v>0</v>
      </c>
      <c r="AI58" s="337">
        <f>IF(SUM(AD55:AD61)&gt;0,AVERAGEIF(AD55:AD61,"&gt;0",AH55:AH61),0)</f>
        <v>0</v>
      </c>
      <c r="AJ58" s="5" t="str">
        <f t="shared" ref="AJ58" si="78">AJ51</f>
        <v>Gan Dia</v>
      </c>
      <c r="AK58" s="6">
        <f>IF(AND(AK50&gt;0,AK57&gt;0),(AK57-AK50)/(COUNTIF(AD55:AD61,"&gt;0")),0)</f>
        <v>0</v>
      </c>
      <c r="AL58" s="43">
        <f>IF(AND(AL50&gt;0,AL57&gt;0,COUNTIF(AD55:AD61,"&gt;0")),(AL57-AL50)/COUNTIF(AD55:AD61,"&gt;0"),0)</f>
        <v>0</v>
      </c>
      <c r="AM58" s="10" t="str">
        <f>IF(AK58&gt;0,(AK58-AL58)/AL58*100,"")</f>
        <v/>
      </c>
      <c r="AN58" s="354"/>
      <c r="AO58" s="354"/>
      <c r="AP58" s="50"/>
      <c r="AQ58" s="50"/>
      <c r="AR58" s="50"/>
      <c r="AS58" s="72">
        <f t="shared" si="5"/>
        <v>0</v>
      </c>
      <c r="AT58" s="72">
        <f t="shared" si="6"/>
        <v>0</v>
      </c>
      <c r="AU58" s="72">
        <f t="shared" si="7"/>
        <v>0</v>
      </c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1"/>
    </row>
    <row r="59" spans="1:58" ht="15.75" customHeight="1" x14ac:dyDescent="0.25">
      <c r="A59" s="929"/>
      <c r="B59" s="53" t="str">
        <f t="shared" si="8"/>
        <v/>
      </c>
      <c r="C59" s="375">
        <f t="shared" si="9"/>
        <v>54</v>
      </c>
      <c r="D59" s="395"/>
      <c r="E59" s="396"/>
      <c r="F59" s="397"/>
      <c r="G59" s="395"/>
      <c r="H59" s="404">
        <f t="shared" si="0"/>
        <v>0</v>
      </c>
      <c r="I59" s="421">
        <f>IF($Q$1&gt;0,TGsh!E57*$M$4%+TGsh!F57*(1-$M$4%),0)</f>
        <v>0</v>
      </c>
      <c r="J59" s="411">
        <f t="shared" si="10"/>
        <v>0</v>
      </c>
      <c r="K59" s="300" t="str">
        <f>$K$10</f>
        <v xml:space="preserve">Mort Acum </v>
      </c>
      <c r="L59" s="292">
        <f>L56+L52</f>
        <v>0</v>
      </c>
      <c r="M59" s="435">
        <f>IF($M$3&gt;0,L59/$M$3,0)</f>
        <v>0</v>
      </c>
      <c r="N59" s="436">
        <f ca="1">TGsh!H59</f>
        <v>0</v>
      </c>
      <c r="O59" s="26"/>
      <c r="P59" s="32"/>
      <c r="Q59" s="32"/>
      <c r="R59" s="315">
        <f t="shared" si="11"/>
        <v>0</v>
      </c>
      <c r="S59" s="320"/>
      <c r="T59" s="32"/>
      <c r="U59" s="321"/>
      <c r="V59" s="35">
        <f t="shared" si="16"/>
        <v>0</v>
      </c>
      <c r="W59" s="306"/>
      <c r="X59" s="32"/>
      <c r="Y59" s="32"/>
      <c r="Z59" s="35">
        <f t="shared" si="17"/>
        <v>0</v>
      </c>
      <c r="AA59" s="367">
        <f t="shared" si="12"/>
        <v>0</v>
      </c>
      <c r="AB59" s="368">
        <f t="shared" si="1"/>
        <v>0</v>
      </c>
      <c r="AC59" s="369">
        <f t="shared" si="13"/>
        <v>0</v>
      </c>
      <c r="AD59" s="327">
        <f t="shared" si="2"/>
        <v>0</v>
      </c>
      <c r="AE59" s="328">
        <f t="shared" si="14"/>
        <v>0</v>
      </c>
      <c r="AF59" s="350">
        <f t="shared" si="48"/>
        <v>0</v>
      </c>
      <c r="AG59" s="29">
        <f t="shared" si="4"/>
        <v>0</v>
      </c>
      <c r="AH59" s="47">
        <f>IF($M$3&gt;0,TGsh!C57*$M$4%+TGsh!D57*(1-$M$4%),0)</f>
        <v>0</v>
      </c>
      <c r="AI59" s="891" t="s">
        <v>46</v>
      </c>
      <c r="AJ59" s="7" t="str">
        <f>$AJ$10</f>
        <v>Conversión</v>
      </c>
      <c r="AK59" s="13">
        <f>IF(AK57&gt;0,AK56/AK57,0)</f>
        <v>0</v>
      </c>
      <c r="AL59" s="44">
        <f>IF(AL57&gt;0,AL56/AL57,0)</f>
        <v>0</v>
      </c>
      <c r="AM59" s="11" t="str">
        <f>IF(AK57&gt;0,-(AK59-AL59)/AL59*100,"")</f>
        <v/>
      </c>
      <c r="AN59" s="50"/>
      <c r="AO59" s="50"/>
      <c r="AP59" s="50"/>
      <c r="AQ59" s="50"/>
      <c r="AR59" s="50"/>
      <c r="AS59" s="72">
        <f t="shared" si="5"/>
        <v>0</v>
      </c>
      <c r="AT59" s="72">
        <f t="shared" si="6"/>
        <v>0</v>
      </c>
      <c r="AU59" s="72">
        <f t="shared" si="7"/>
        <v>0</v>
      </c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1"/>
    </row>
    <row r="60" spans="1:58" ht="15.75" x14ac:dyDescent="0.25">
      <c r="A60" s="929"/>
      <c r="B60" s="53" t="str">
        <f t="shared" si="8"/>
        <v/>
      </c>
      <c r="C60" s="375">
        <f t="shared" si="9"/>
        <v>55</v>
      </c>
      <c r="D60" s="395"/>
      <c r="E60" s="396"/>
      <c r="F60" s="397"/>
      <c r="G60" s="409"/>
      <c r="H60" s="405">
        <f t="shared" si="0"/>
        <v>0</v>
      </c>
      <c r="I60" s="420">
        <f>IF($Q$1&gt;0,TGsh!E58*$M$4%+TGsh!F58*(1-$M$4%),0)</f>
        <v>0</v>
      </c>
      <c r="J60" s="412">
        <f t="shared" si="10"/>
        <v>0</v>
      </c>
      <c r="K60" s="298" t="str">
        <f>$K$11</f>
        <v xml:space="preserve">Sel Acum </v>
      </c>
      <c r="L60" s="290">
        <f>L57+L53</f>
        <v>0</v>
      </c>
      <c r="M60" s="431">
        <f>IF($M$3&gt;0,L60/$M$3,0)</f>
        <v>0</v>
      </c>
      <c r="N60" s="437">
        <f t="shared" ref="N60" si="79">N57+N53</f>
        <v>0</v>
      </c>
      <c r="O60" s="26"/>
      <c r="P60" s="32"/>
      <c r="Q60" s="32"/>
      <c r="R60" s="315">
        <f t="shared" si="11"/>
        <v>0</v>
      </c>
      <c r="S60" s="320"/>
      <c r="T60" s="32"/>
      <c r="U60" s="321"/>
      <c r="V60" s="35">
        <f t="shared" si="16"/>
        <v>0</v>
      </c>
      <c r="W60" s="306"/>
      <c r="X60" s="32"/>
      <c r="Y60" s="32"/>
      <c r="Z60" s="35">
        <f t="shared" si="17"/>
        <v>0</v>
      </c>
      <c r="AA60" s="367">
        <f t="shared" si="12"/>
        <v>0</v>
      </c>
      <c r="AB60" s="368">
        <f t="shared" si="1"/>
        <v>0</v>
      </c>
      <c r="AC60" s="369">
        <f t="shared" si="13"/>
        <v>0</v>
      </c>
      <c r="AD60" s="327">
        <f t="shared" si="2"/>
        <v>0</v>
      </c>
      <c r="AE60" s="328">
        <f t="shared" si="14"/>
        <v>0</v>
      </c>
      <c r="AF60" s="350">
        <f t="shared" si="48"/>
        <v>0</v>
      </c>
      <c r="AG60" s="29">
        <f t="shared" si="4"/>
        <v>0</v>
      </c>
      <c r="AH60" s="47">
        <f>IF($M$3&gt;0,TGsh!C58*$M$4%+TGsh!D58*(1-$M$4%),0)</f>
        <v>0</v>
      </c>
      <c r="AI60" s="892"/>
      <c r="AJ60" s="7" t="str">
        <f>$AJ$11</f>
        <v>Ef. Alim</v>
      </c>
      <c r="AK60" s="12">
        <f>IF(AK59&gt;0,AK57/AK59/10,0)</f>
        <v>0</v>
      </c>
      <c r="AL60" s="45">
        <f>IF(AL59&gt;0,AL57/AL59/10,0)</f>
        <v>0</v>
      </c>
      <c r="AM60" s="11" t="str">
        <f>IF(AK60&gt;0,(AK60-AL60)/AL60*100,"")</f>
        <v/>
      </c>
      <c r="AN60" s="50"/>
      <c r="AO60" s="50"/>
      <c r="AP60" s="50"/>
      <c r="AQ60" s="50"/>
      <c r="AR60" s="50"/>
      <c r="AS60" s="72">
        <f t="shared" si="5"/>
        <v>0</v>
      </c>
      <c r="AT60" s="72">
        <f t="shared" si="6"/>
        <v>0</v>
      </c>
      <c r="AU60" s="72">
        <f t="shared" si="7"/>
        <v>0</v>
      </c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1"/>
    </row>
    <row r="61" spans="1:58" ht="16.5" thickBot="1" x14ac:dyDescent="0.3">
      <c r="A61" s="930"/>
      <c r="B61" s="54" t="str">
        <f t="shared" si="8"/>
        <v/>
      </c>
      <c r="C61" s="408">
        <f t="shared" si="9"/>
        <v>56</v>
      </c>
      <c r="D61" s="409"/>
      <c r="E61" s="398"/>
      <c r="F61" s="399"/>
      <c r="G61" s="409"/>
      <c r="H61" s="405">
        <f t="shared" si="0"/>
        <v>0</v>
      </c>
      <c r="I61" s="419">
        <f>IF($Q$1&gt;0,TGsh!E59*$M$4%+TGsh!F59*(1-$M$4%),0)</f>
        <v>0</v>
      </c>
      <c r="J61" s="56">
        <f t="shared" si="10"/>
        <v>0</v>
      </c>
      <c r="K61" s="301" t="str">
        <f>$K$12</f>
        <v xml:space="preserve">Mort + Sel Acum </v>
      </c>
      <c r="L61" s="293">
        <f>L58+L54</f>
        <v>0</v>
      </c>
      <c r="M61" s="438">
        <f>IF($M$3&gt;0,L61/$M$3,0)</f>
        <v>0</v>
      </c>
      <c r="N61" s="439">
        <f t="shared" ref="N61" ca="1" si="80">SUM(N59:N60)</f>
        <v>0</v>
      </c>
      <c r="O61" s="27"/>
      <c r="P61" s="33"/>
      <c r="Q61" s="33"/>
      <c r="R61" s="316">
        <f t="shared" si="11"/>
        <v>0</v>
      </c>
      <c r="S61" s="322"/>
      <c r="T61" s="33"/>
      <c r="U61" s="323"/>
      <c r="V61" s="324">
        <f t="shared" si="16"/>
        <v>0</v>
      </c>
      <c r="W61" s="307"/>
      <c r="X61" s="33"/>
      <c r="Y61" s="33"/>
      <c r="Z61" s="36">
        <f t="shared" si="17"/>
        <v>0</v>
      </c>
      <c r="AA61" s="370">
        <f t="shared" si="12"/>
        <v>0</v>
      </c>
      <c r="AB61" s="371">
        <f t="shared" si="1"/>
        <v>0</v>
      </c>
      <c r="AC61" s="372">
        <f t="shared" si="13"/>
        <v>0</v>
      </c>
      <c r="AD61" s="351">
        <f t="shared" si="2"/>
        <v>0</v>
      </c>
      <c r="AE61" s="502">
        <f t="shared" si="14"/>
        <v>0</v>
      </c>
      <c r="AF61" s="352">
        <f t="shared" si="48"/>
        <v>0</v>
      </c>
      <c r="AG61" s="30">
        <f t="shared" si="4"/>
        <v>0</v>
      </c>
      <c r="AH61" s="48">
        <f>IF($M$3&gt;0,TGsh!C59*$M$4%+TGsh!D59*(1-$M$4%),0)</f>
        <v>0</v>
      </c>
      <c r="AI61" s="342">
        <f>IF('Liq-Zoot'!$F$31&gt;0,AK57/1000*J61/'Liq-Zoot'!$F$31,0)</f>
        <v>0</v>
      </c>
      <c r="AJ61" s="343" t="str">
        <f>$AJ$12</f>
        <v>Fact. IP</v>
      </c>
      <c r="AK61" s="344">
        <f>IF(AK59&gt;0,AK60/AK59,0)</f>
        <v>0</v>
      </c>
      <c r="AL61" s="345">
        <f>IF(AL59&gt;0,AL60/AL59,0)</f>
        <v>0</v>
      </c>
      <c r="AM61" s="346" t="str">
        <f>IF(AK61&gt;0,(AK61-AL61)/AL61*100,"")</f>
        <v/>
      </c>
      <c r="AN61" s="50"/>
      <c r="AO61" s="50"/>
      <c r="AP61" s="50"/>
      <c r="AQ61" s="50"/>
      <c r="AR61" s="50"/>
      <c r="AS61" s="72">
        <f t="shared" si="5"/>
        <v>0</v>
      </c>
      <c r="AT61" s="72">
        <f t="shared" si="6"/>
        <v>0</v>
      </c>
      <c r="AU61" s="72">
        <f t="shared" si="7"/>
        <v>0</v>
      </c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1"/>
    </row>
    <row r="62" spans="1:58" ht="17.25" thickTop="1" thickBot="1" x14ac:dyDescent="0.3">
      <c r="A62" s="50"/>
      <c r="B62" s="50"/>
      <c r="C62" s="407">
        <f>IF(F62&gt;0,SUMPRODUCT(C6:C61,F6:F61)/F62,0)</f>
        <v>0</v>
      </c>
      <c r="D62" s="857" t="str">
        <f>'G1'!$D$62</f>
        <v xml:space="preserve">Total Ventas : </v>
      </c>
      <c r="E62" s="858"/>
      <c r="F62" s="391">
        <f>SUM(F6:F61)</f>
        <v>0</v>
      </c>
      <c r="G62" s="416">
        <f>SUM(G6:G61)</f>
        <v>0</v>
      </c>
      <c r="H62" s="422">
        <f>IF(F62&gt;0,G62/F62*1000,0)</f>
        <v>0</v>
      </c>
      <c r="I62" s="446">
        <f>IF(F62&gt;0,SUMPRODUCT(F6:F61,I6:I61)/F62,0)</f>
        <v>0</v>
      </c>
      <c r="J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</row>
    <row r="63" spans="1:58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</sheetData>
  <sheetProtection algorithmName="SHA-512" hashValue="3E/9E60K+ba0b5PfB9p/mXtM0g7B5EU61oiV1ZnGaB1Ry0HeapaNWBE9aX8HlUxiInjViZgZxoJSsHJpIkyXAQ==" saltValue="rAMlbM03Ymwr2/ronJhl2Q==" spinCount="100000" sheet="1" formatCells="0" formatColumns="0" formatRows="0" sort="0" autoFilter="0"/>
  <autoFilter ref="B5:B61" xr:uid="{00000000-0009-0000-0000-000003000000}"/>
  <mergeCells count="66">
    <mergeCell ref="A48:A54"/>
    <mergeCell ref="AI52:AI53"/>
    <mergeCell ref="A55:A61"/>
    <mergeCell ref="AI59:AI60"/>
    <mergeCell ref="D62:E62"/>
    <mergeCell ref="A27:A33"/>
    <mergeCell ref="AI31:AI32"/>
    <mergeCell ref="A34:A40"/>
    <mergeCell ref="AI38:AI39"/>
    <mergeCell ref="A41:A47"/>
    <mergeCell ref="AI45:AI46"/>
    <mergeCell ref="K5:N5"/>
    <mergeCell ref="A6:A12"/>
    <mergeCell ref="AI10:AI11"/>
    <mergeCell ref="A13:A19"/>
    <mergeCell ref="AI17:AI18"/>
    <mergeCell ref="A20:A26"/>
    <mergeCell ref="AI24:AI25"/>
    <mergeCell ref="S4:T4"/>
    <mergeCell ref="U4:V4"/>
    <mergeCell ref="W4:X4"/>
    <mergeCell ref="Y4:Z4"/>
    <mergeCell ref="AA4:AH4"/>
    <mergeCell ref="AI4:AM4"/>
    <mergeCell ref="E4:F4"/>
    <mergeCell ref="K4:L4"/>
    <mergeCell ref="M4:N4"/>
    <mergeCell ref="O4:P4"/>
    <mergeCell ref="Q4:R4"/>
    <mergeCell ref="A1:C4"/>
    <mergeCell ref="D1:G1"/>
    <mergeCell ref="H1:J1"/>
    <mergeCell ref="S3:V3"/>
    <mergeCell ref="W3:Z3"/>
    <mergeCell ref="AA3:AB3"/>
    <mergeCell ref="AD3:AF3"/>
    <mergeCell ref="AG3:AI3"/>
    <mergeCell ref="W2:X2"/>
    <mergeCell ref="Y2:Z2"/>
    <mergeCell ref="AA2:AB2"/>
    <mergeCell ref="AD2:AF2"/>
    <mergeCell ref="AG2:AI2"/>
    <mergeCell ref="D3:G3"/>
    <mergeCell ref="H3:J3"/>
    <mergeCell ref="K3:L3"/>
    <mergeCell ref="M3:N3"/>
    <mergeCell ref="O3:R3"/>
    <mergeCell ref="Q2:R2"/>
    <mergeCell ref="S2:T2"/>
    <mergeCell ref="U2:V2"/>
    <mergeCell ref="Q1:R1"/>
    <mergeCell ref="S1:T1"/>
    <mergeCell ref="U1:V1"/>
    <mergeCell ref="D2:G2"/>
    <mergeCell ref="H2:J2"/>
    <mergeCell ref="K2:L2"/>
    <mergeCell ref="M2:N2"/>
    <mergeCell ref="O2:P2"/>
    <mergeCell ref="K1:L1"/>
    <mergeCell ref="M1:N1"/>
    <mergeCell ref="O1:P1"/>
    <mergeCell ref="AD1:AF1"/>
    <mergeCell ref="AG1:AI1"/>
    <mergeCell ref="W1:X1"/>
    <mergeCell ref="Y1:Z1"/>
    <mergeCell ref="AA1:AB1"/>
  </mergeCells>
  <conditionalFormatting sqref="B6:AH61">
    <cfRule type="expression" dxfId="13" priority="1">
      <formula>AND($C6/7=INT($C6/7))</formula>
    </cfRule>
  </conditionalFormatting>
  <conditionalFormatting sqref="L6:M61">
    <cfRule type="expression" dxfId="12" priority="3">
      <formula>AND($M6&gt;$N6)</formula>
    </cfRule>
  </conditionalFormatting>
  <conditionalFormatting sqref="AG6:AG61">
    <cfRule type="expression" dxfId="11" priority="4">
      <formula>AND($AG6&lt;$AH6*0.95,$AG6&gt;0)</formula>
    </cfRule>
  </conditionalFormatting>
  <dataValidations count="2">
    <dataValidation allowBlank="1" showInputMessage="1" showErrorMessage="1" prompt="Digite el CONSUMO de Alimento Diario" sqref="P6:P61 T6:T61 X6:X61" xr:uid="{00000000-0002-0000-0300-000000000000}"/>
    <dataValidation allowBlank="1" showInputMessage="1" showErrorMessage="1" prompt="Digite PESO (Kg) aves vendidas (sin los huacales)" sqref="G6:G61" xr:uid="{00000000-0002-0000-0300-000001000000}"/>
  </dataValidations>
  <printOptions horizontalCentered="1"/>
  <pageMargins left="0.47244094488188981" right="0.51181102362204722" top="0.35433070866141736" bottom="0.35433070866141736" header="0.23622047244094491" footer="0.31496062992125984"/>
  <pageSetup scale="53" fitToWidth="2" orientation="landscape" horizontalDpi="300" verticalDpi="300" r:id="rId1"/>
  <colBreaks count="1" manualBreakCount="1">
    <brk id="39" max="6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BO63"/>
  <sheetViews>
    <sheetView showGridLines="0" showRowColHeaders="0" showZeros="0" zoomScaleNormal="100" zoomScalePageLayoutView="140" workbookViewId="0">
      <pane xSplit="3" ySplit="5" topLeftCell="D6" activePane="bottomRight" state="frozen"/>
      <selection activeCell="N6" sqref="N6"/>
      <selection pane="topRight" activeCell="N6" sqref="N6"/>
      <selection pane="bottomLeft" activeCell="N6" sqref="N6"/>
      <selection pane="bottomRight" activeCell="M1" sqref="M1:N1"/>
    </sheetView>
  </sheetViews>
  <sheetFormatPr baseColWidth="10" defaultColWidth="11" defaultRowHeight="15" x14ac:dyDescent="0.2"/>
  <cols>
    <col min="1" max="1" width="7" style="1" customWidth="1"/>
    <col min="2" max="2" width="15" style="1" customWidth="1"/>
    <col min="3" max="3" width="8" style="1" customWidth="1"/>
    <col min="4" max="4" width="9.6640625" style="1" customWidth="1"/>
    <col min="5" max="5" width="8.33203125" style="1" customWidth="1"/>
    <col min="6" max="6" width="10" style="1" customWidth="1"/>
    <col min="7" max="7" width="10.83203125" style="1" customWidth="1"/>
    <col min="8" max="8" width="12" style="1" customWidth="1"/>
    <col min="9" max="9" width="10.83203125" style="1" customWidth="1"/>
    <col min="10" max="10" width="11.1640625" style="1" customWidth="1"/>
    <col min="11" max="11" width="18.33203125" style="1" customWidth="1"/>
    <col min="12" max="12" width="7.33203125" style="1" customWidth="1"/>
    <col min="13" max="13" width="8.83203125" style="1" customWidth="1"/>
    <col min="14" max="14" width="9" style="1" customWidth="1"/>
    <col min="15" max="15" width="10.33203125" style="1" customWidth="1"/>
    <col min="16" max="16" width="11.33203125" style="1" customWidth="1"/>
    <col min="17" max="17" width="10.1640625" style="1" customWidth="1"/>
    <col min="18" max="18" width="11.33203125" style="1" customWidth="1"/>
    <col min="19" max="19" width="10.33203125" style="1" customWidth="1"/>
    <col min="20" max="20" width="11.33203125" style="1" customWidth="1"/>
    <col min="21" max="21" width="10.1640625" style="1" customWidth="1"/>
    <col min="22" max="22" width="13" style="1" customWidth="1"/>
    <col min="23" max="23" width="10.33203125" style="1" customWidth="1"/>
    <col min="24" max="24" width="11.33203125" style="1" customWidth="1"/>
    <col min="25" max="25" width="10.1640625" style="1" customWidth="1"/>
    <col min="26" max="26" width="10.6640625" style="1" customWidth="1"/>
    <col min="27" max="27" width="13.83203125" style="1" customWidth="1"/>
    <col min="28" max="28" width="14.6640625" style="1" customWidth="1"/>
    <col min="29" max="29" width="14" style="1" customWidth="1"/>
    <col min="30" max="31" width="11" style="1" customWidth="1"/>
    <col min="32" max="32" width="10.1640625" style="1" customWidth="1"/>
    <col min="33" max="33" width="11.33203125" style="1" customWidth="1"/>
    <col min="34" max="34" width="11.6640625" style="1" customWidth="1"/>
    <col min="35" max="35" width="12.1640625" style="1" customWidth="1"/>
    <col min="36" max="36" width="15.83203125" style="1" customWidth="1"/>
    <col min="37" max="37" width="11" style="1" customWidth="1"/>
    <col min="38" max="38" width="10.1640625" style="1" customWidth="1"/>
    <col min="39" max="39" width="12" style="1" customWidth="1"/>
    <col min="40" max="41" width="7.1640625" style="1" customWidth="1"/>
    <col min="42" max="42" width="14.1640625" style="1" customWidth="1"/>
    <col min="43" max="43" width="14.33203125" style="1" customWidth="1"/>
    <col min="44" max="44" width="12.83203125" style="1" customWidth="1"/>
    <col min="45" max="45" width="5.6640625" style="1" customWidth="1"/>
    <col min="46" max="46" width="6.33203125" style="1" customWidth="1"/>
    <col min="47" max="47" width="7.6640625" style="1" customWidth="1"/>
    <col min="48" max="48" width="8.83203125" style="1" customWidth="1"/>
    <col min="49" max="49" width="9.1640625" style="1" customWidth="1"/>
    <col min="50" max="50" width="12.33203125" style="1" customWidth="1"/>
    <col min="51" max="52" width="7.1640625" style="1" customWidth="1"/>
    <col min="53" max="16384" width="11" style="1"/>
  </cols>
  <sheetData>
    <row r="1" spans="1:67" ht="15.75" customHeight="1" x14ac:dyDescent="0.25">
      <c r="A1" s="931"/>
      <c r="B1" s="931"/>
      <c r="C1" s="931"/>
      <c r="D1" s="937" t="str">
        <f>'G1'!D1</f>
        <v xml:space="preserve">Empresa / Cliente : </v>
      </c>
      <c r="E1" s="938"/>
      <c r="F1" s="939"/>
      <c r="G1" s="939"/>
      <c r="H1" s="943">
        <f>'G1'!H1</f>
        <v>0</v>
      </c>
      <c r="I1" s="944"/>
      <c r="J1" s="945"/>
      <c r="K1" s="864" t="str">
        <f>'G1'!K1</f>
        <v xml:space="preserve">Machos Recibidos : </v>
      </c>
      <c r="L1" s="865"/>
      <c r="M1" s="902"/>
      <c r="N1" s="903"/>
      <c r="O1" s="916" t="str">
        <f>'G1'!O1</f>
        <v>F. Recepción :</v>
      </c>
      <c r="P1" s="917"/>
      <c r="Q1" s="935">
        <f>'G1'!Q1</f>
        <v>0</v>
      </c>
      <c r="R1" s="936"/>
      <c r="S1" s="916" t="str">
        <f>'G1'!S1</f>
        <v>Peso nac :</v>
      </c>
      <c r="T1" s="917"/>
      <c r="U1" s="876"/>
      <c r="V1" s="877"/>
      <c r="W1" s="916" t="str">
        <f>'G1'!W1</f>
        <v xml:space="preserve">Altura s. n. mar : </v>
      </c>
      <c r="X1" s="917"/>
      <c r="Y1" s="922" t="str">
        <f>IF('G1'!Y1="","",'G1'!Y1)</f>
        <v/>
      </c>
      <c r="Z1" s="923"/>
      <c r="AA1" s="926" t="s">
        <v>167</v>
      </c>
      <c r="AB1" s="927"/>
      <c r="AC1" s="440"/>
      <c r="AD1" s="908" t="str">
        <f>'G1'!AD1</f>
        <v xml:space="preserve">Tipo Galpón : </v>
      </c>
      <c r="AE1" s="909"/>
      <c r="AF1" s="910"/>
      <c r="AG1" s="896"/>
      <c r="AH1" s="896"/>
      <c r="AI1" s="897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</row>
    <row r="2" spans="1:67" s="2" customFormat="1" ht="15.75" customHeight="1" thickBot="1" x14ac:dyDescent="0.3">
      <c r="A2" s="931"/>
      <c r="B2" s="931"/>
      <c r="C2" s="931"/>
      <c r="D2" s="940" t="str">
        <f>'G1'!D2</f>
        <v xml:space="preserve">Nombre de la Granja : </v>
      </c>
      <c r="E2" s="941"/>
      <c r="F2" s="942"/>
      <c r="G2" s="942"/>
      <c r="H2" s="946">
        <f>'G1'!H2</f>
        <v>0</v>
      </c>
      <c r="I2" s="947"/>
      <c r="J2" s="948"/>
      <c r="K2" s="949" t="str">
        <f>'G1'!K2</f>
        <v xml:space="preserve">Hembras Recibidas : </v>
      </c>
      <c r="L2" s="950"/>
      <c r="M2" s="904"/>
      <c r="N2" s="905"/>
      <c r="O2" s="920" t="str">
        <f>'G1'!O2</f>
        <v xml:space="preserve">Guía Cons/Peso : </v>
      </c>
      <c r="P2" s="921"/>
      <c r="Q2" s="878">
        <f>'G1'!Q2</f>
        <v>0</v>
      </c>
      <c r="R2" s="879"/>
      <c r="S2" s="920" t="str">
        <f>'G1'!S2</f>
        <v xml:space="preserve">Sexo : </v>
      </c>
      <c r="T2" s="921"/>
      <c r="U2" s="878" t="str">
        <f>IF(M3&gt;0,IF(M2=0,"MACHO",IF(M1=0,"HEMBRA","MIXTO")),"")</f>
        <v/>
      </c>
      <c r="V2" s="879"/>
      <c r="W2" s="920" t="str">
        <f>'G1'!W2</f>
        <v>Clima :</v>
      </c>
      <c r="X2" s="921"/>
      <c r="Y2" s="918" t="str">
        <f>IF('G1'!Y2="","",'G1'!Y2)</f>
        <v>Cálido</v>
      </c>
      <c r="Z2" s="919"/>
      <c r="AA2" s="859" t="s">
        <v>165</v>
      </c>
      <c r="AB2" s="860"/>
      <c r="AC2" s="441">
        <f>IF(AC1&gt;0,M3/AC1,0)</f>
        <v>0</v>
      </c>
      <c r="AD2" s="911" t="str">
        <f>'G1'!AD2</f>
        <v xml:space="preserve">Tipo Comederos : </v>
      </c>
      <c r="AE2" s="912"/>
      <c r="AF2" s="913"/>
      <c r="AG2" s="898"/>
      <c r="AH2" s="898"/>
      <c r="AI2" s="899"/>
      <c r="AN2" s="353"/>
      <c r="AO2" s="353"/>
      <c r="AP2" s="353"/>
      <c r="AQ2" s="353"/>
      <c r="AR2" s="353"/>
      <c r="AS2" s="353"/>
      <c r="AT2" s="353"/>
      <c r="AU2" s="353"/>
      <c r="AV2" s="353"/>
      <c r="AW2" s="353"/>
      <c r="AX2" s="353"/>
      <c r="AY2" s="353"/>
      <c r="AZ2" s="353"/>
      <c r="BA2" s="353"/>
      <c r="BB2" s="353"/>
      <c r="BC2" s="353"/>
      <c r="BD2" s="353"/>
      <c r="BE2" s="353"/>
      <c r="BF2" s="353"/>
    </row>
    <row r="3" spans="1:67" s="2" customFormat="1" ht="15.75" customHeight="1" thickBot="1" x14ac:dyDescent="0.3">
      <c r="A3" s="931"/>
      <c r="B3" s="931"/>
      <c r="C3" s="931"/>
      <c r="D3" s="940" t="str">
        <f>'G1'!D3</f>
        <v xml:space="preserve">Localización (Municipio/Vereda) : </v>
      </c>
      <c r="E3" s="941"/>
      <c r="F3" s="942"/>
      <c r="G3" s="942"/>
      <c r="H3" s="946">
        <f>'G1'!H3</f>
        <v>0</v>
      </c>
      <c r="I3" s="947"/>
      <c r="J3" s="948"/>
      <c r="K3" s="868" t="str">
        <f>'G1'!K3</f>
        <v xml:space="preserve">Aves Recibidas : </v>
      </c>
      <c r="L3" s="869"/>
      <c r="M3" s="906">
        <f>SUM(M1:N2)</f>
        <v>0</v>
      </c>
      <c r="N3" s="907"/>
      <c r="O3" s="875" t="str">
        <f>'G1'!O3</f>
        <v>Preiniciador Pollito</v>
      </c>
      <c r="P3" s="866"/>
      <c r="Q3" s="866"/>
      <c r="R3" s="866"/>
      <c r="S3" s="872" t="str">
        <f>'G1'!S3</f>
        <v>Iniciador Pollito</v>
      </c>
      <c r="T3" s="873"/>
      <c r="U3" s="873"/>
      <c r="V3" s="874"/>
      <c r="W3" s="866" t="str">
        <f>'G1'!W3</f>
        <v>Pollo Engorde</v>
      </c>
      <c r="X3" s="866"/>
      <c r="Y3" s="866"/>
      <c r="Z3" s="867"/>
      <c r="AA3" s="924" t="str">
        <f>'G1'!AA3</f>
        <v>Temperatura Ext :</v>
      </c>
      <c r="AB3" s="925"/>
      <c r="AC3" s="442"/>
      <c r="AD3" s="914" t="str">
        <f>'G1'!AD3</f>
        <v xml:space="preserve">Tipo Bebederos : </v>
      </c>
      <c r="AE3" s="915"/>
      <c r="AF3" s="915"/>
      <c r="AG3" s="900"/>
      <c r="AH3" s="900"/>
      <c r="AI3" s="901"/>
      <c r="AN3" s="353"/>
      <c r="AO3" s="353"/>
      <c r="AP3" s="353"/>
      <c r="AQ3" s="353"/>
      <c r="AR3" s="353"/>
      <c r="AS3" s="353"/>
      <c r="AT3" s="353"/>
      <c r="AU3" s="353"/>
      <c r="AV3" s="353"/>
      <c r="AW3" s="353"/>
      <c r="AX3" s="353"/>
      <c r="AY3" s="353"/>
      <c r="AZ3" s="353"/>
      <c r="BA3" s="353"/>
      <c r="BB3" s="353"/>
      <c r="BC3" s="353"/>
      <c r="BD3" s="353"/>
      <c r="BE3" s="353"/>
      <c r="BF3" s="353"/>
      <c r="BN3" s="1"/>
      <c r="BO3" s="1"/>
    </row>
    <row r="4" spans="1:67" s="2" customFormat="1" ht="15.75" customHeight="1" thickBot="1" x14ac:dyDescent="0.3">
      <c r="A4" s="932"/>
      <c r="B4" s="932"/>
      <c r="C4" s="932"/>
      <c r="D4" s="447" t="str">
        <f>'G1'!$D$4</f>
        <v xml:space="preserve">Raza : </v>
      </c>
      <c r="E4" s="953">
        <f>'G1'!$E$4</f>
        <v>0</v>
      </c>
      <c r="F4" s="954"/>
      <c r="G4" s="417" t="str">
        <f>'G1'!G4</f>
        <v># Lote :</v>
      </c>
      <c r="H4" s="360" t="str">
        <f>IF('G1'!H4="","",'G1'!H4)</f>
        <v/>
      </c>
      <c r="I4" s="331" t="str">
        <f>'G1'!I4</f>
        <v>Id. Galpón :</v>
      </c>
      <c r="J4" s="270">
        <v>4</v>
      </c>
      <c r="K4" s="870" t="str">
        <f>'G1'!K4</f>
        <v xml:space="preserve">% Machos : </v>
      </c>
      <c r="L4" s="871"/>
      <c r="M4" s="951">
        <f>IF(M3&gt;0,M1/M3*100,0)</f>
        <v>0</v>
      </c>
      <c r="N4" s="952"/>
      <c r="O4" s="886" t="str">
        <f>'G1'!O4</f>
        <v xml:space="preserve">$ / Kilogramo: </v>
      </c>
      <c r="P4" s="881"/>
      <c r="Q4" s="882">
        <f>'G1'!Q4</f>
        <v>0</v>
      </c>
      <c r="R4" s="883"/>
      <c r="S4" s="884" t="str">
        <f>'G1'!S4</f>
        <v xml:space="preserve">$ / Kilogramo: </v>
      </c>
      <c r="T4" s="885"/>
      <c r="U4" s="933">
        <f>'G1'!U4</f>
        <v>0</v>
      </c>
      <c r="V4" s="934"/>
      <c r="W4" s="880" t="str">
        <f>'G1'!W4</f>
        <v xml:space="preserve">$ / Kilogramo: </v>
      </c>
      <c r="X4" s="881"/>
      <c r="Y4" s="883">
        <f>'G1'!Y4</f>
        <v>0</v>
      </c>
      <c r="Z4" s="887"/>
      <c r="AA4" s="888" t="str">
        <f>'G1'!AA4</f>
        <v>Consolidado Alimento / Consumo</v>
      </c>
      <c r="AB4" s="889"/>
      <c r="AC4" s="889"/>
      <c r="AD4" s="889"/>
      <c r="AE4" s="889"/>
      <c r="AF4" s="889"/>
      <c r="AG4" s="889"/>
      <c r="AH4" s="890"/>
      <c r="AI4" s="893" t="str">
        <f>'G1'!AI4</f>
        <v>Indicadores Zootécnicos</v>
      </c>
      <c r="AJ4" s="894"/>
      <c r="AK4" s="894"/>
      <c r="AL4" s="894"/>
      <c r="AM4" s="895"/>
      <c r="AN4" s="353"/>
      <c r="AO4" s="353"/>
      <c r="AP4" s="353"/>
      <c r="AQ4" s="353"/>
      <c r="AR4" s="353"/>
      <c r="AS4" s="353"/>
      <c r="AT4" s="353"/>
      <c r="AU4" s="353"/>
      <c r="AV4" s="353"/>
      <c r="AW4" s="353"/>
      <c r="AX4" s="353"/>
      <c r="AY4" s="353"/>
      <c r="AZ4" s="353"/>
      <c r="BA4" s="353"/>
      <c r="BB4" s="353"/>
      <c r="BC4" s="353"/>
      <c r="BD4" s="353"/>
      <c r="BE4" s="353"/>
      <c r="BF4" s="353"/>
    </row>
    <row r="5" spans="1:67" ht="42" customHeight="1" thickBot="1" x14ac:dyDescent="0.25">
      <c r="A5" s="73" t="str">
        <f>'G1'!A5</f>
        <v xml:space="preserve"> </v>
      </c>
      <c r="B5" s="74" t="str">
        <f>'G1'!B5</f>
        <v>Fecha</v>
      </c>
      <c r="C5" s="373" t="str">
        <f>'G1'!C5</f>
        <v>Edad día</v>
      </c>
      <c r="D5" s="377" t="str">
        <f>'G1'!D5</f>
        <v>Mort</v>
      </c>
      <c r="E5" s="378" t="str">
        <f>'G1'!E5</f>
        <v>Sel</v>
      </c>
      <c r="F5" s="379" t="str">
        <f>'G1'!F5</f>
        <v>Trasl-Venta</v>
      </c>
      <c r="G5" s="414" t="str">
        <f>'G1'!G5</f>
        <v>Peso Total Neto</v>
      </c>
      <c r="H5" s="415" t="str">
        <f>'G1'!H5</f>
        <v>Peso (Gr) Prom.</v>
      </c>
      <c r="I5" s="413" t="str">
        <f>'G1'!I5</f>
        <v>Peso (Gr) Guía</v>
      </c>
      <c r="J5" s="75" t="str">
        <f>'G1'!J5</f>
        <v>Saldo Aves</v>
      </c>
      <c r="K5" s="861" t="str">
        <f>'G1'!K5</f>
        <v>Seguimiento a Mortalidad y Selección</v>
      </c>
      <c r="L5" s="862"/>
      <c r="M5" s="862"/>
      <c r="N5" s="863"/>
      <c r="O5" s="76" t="str">
        <f>'G1'!O5</f>
        <v>Ingreso Bulto X 40 K</v>
      </c>
      <c r="P5" s="445" t="str">
        <f>'G1'!P5</f>
        <v>Kilos</v>
      </c>
      <c r="Q5" s="77" t="str">
        <f>'G1'!Q5</f>
        <v>Traslado Bulto X 40 K</v>
      </c>
      <c r="R5" s="313" t="str">
        <f>'G1'!R5</f>
        <v>Saldo Bulto X 40 K</v>
      </c>
      <c r="S5" s="317" t="str">
        <f>'G1'!S5</f>
        <v>Ingreso Bulto X 40 K</v>
      </c>
      <c r="T5" s="445" t="str">
        <f>'G1'!T5</f>
        <v>Bulto X 40 K</v>
      </c>
      <c r="U5" s="77" t="str">
        <f>'G1'!U5</f>
        <v>Traslado Bulto X 40 K</v>
      </c>
      <c r="V5" s="78" t="str">
        <f>'G1'!V5</f>
        <v>Saldo Bulto X 40 K</v>
      </c>
      <c r="W5" s="85" t="str">
        <f>'G1'!W5</f>
        <v>Ingreso Bulto X 40 K</v>
      </c>
      <c r="X5" s="445" t="str">
        <f>'G1'!X5</f>
        <v>Bulto X 40 K</v>
      </c>
      <c r="Y5" s="77" t="str">
        <f>'G1'!Y5</f>
        <v>Traslado Bulto X 40 K</v>
      </c>
      <c r="Z5" s="78" t="str">
        <f>'G1'!Z5</f>
        <v>Saldo Bulto X 40 K</v>
      </c>
      <c r="AA5" s="361" t="str">
        <f>'G1'!AA5</f>
        <v>T. Ingreso Bulto X 40 K</v>
      </c>
      <c r="AB5" s="362" t="str">
        <f>'G1'!AB5</f>
        <v>T. Traslados Bulto X 40 K</v>
      </c>
      <c r="AC5" s="363" t="str">
        <f>'G1'!AC5</f>
        <v>Total Saldo Bulto X 40 K</v>
      </c>
      <c r="AD5" s="500" t="str">
        <f>'G1'!AD5</f>
        <v>Consumo día Bulto X 40 K</v>
      </c>
      <c r="AE5" s="501" t="str">
        <f>'G1'!AE5</f>
        <v>BULTOS Ac.</v>
      </c>
      <c r="AF5" s="348" t="str">
        <f>'G1'!AF5</f>
        <v>BULTOS Guia</v>
      </c>
      <c r="AG5" s="79" t="str">
        <f>'G1'!AG5</f>
        <v>Cons Ave Dia (Gr.)</v>
      </c>
      <c r="AH5" s="80" t="str">
        <f>'G1'!AH5</f>
        <v>Cons Ave Dia Guia</v>
      </c>
      <c r="AI5" s="81" t="str">
        <f>'G1'!AI5</f>
        <v>Consumo Prom Dia</v>
      </c>
      <c r="AJ5" s="333" t="str">
        <f>'G1'!AJ5</f>
        <v>Parám. Z</v>
      </c>
      <c r="AK5" s="82" t="str">
        <f>'G1'!AK5</f>
        <v>Real</v>
      </c>
      <c r="AL5" s="83" t="str">
        <f>'G1'!AL5</f>
        <v>Guia</v>
      </c>
      <c r="AM5" s="84" t="str">
        <f>'G1'!AM5</f>
        <v>% Cumpl</v>
      </c>
      <c r="AN5" s="50"/>
      <c r="AO5" s="50"/>
      <c r="AP5" s="50"/>
      <c r="AQ5" s="50"/>
      <c r="AR5" s="50"/>
      <c r="AS5" s="72" t="s">
        <v>120</v>
      </c>
      <c r="AT5" s="72" t="s">
        <v>119</v>
      </c>
      <c r="AU5" s="72" t="s">
        <v>118</v>
      </c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</row>
    <row r="6" spans="1:67" ht="16.5" customHeight="1" thickBot="1" x14ac:dyDescent="0.3">
      <c r="A6" s="928" t="s">
        <v>10</v>
      </c>
      <c r="B6" s="52" t="str">
        <f>IF(Q1&gt;0,Q1,"")</f>
        <v/>
      </c>
      <c r="C6" s="374">
        <v>1</v>
      </c>
      <c r="D6" s="392"/>
      <c r="E6" s="393"/>
      <c r="F6" s="394"/>
      <c r="G6" s="392"/>
      <c r="H6" s="403">
        <f t="shared" ref="H6:H61" si="0">IF(F6&gt;0,G6/F6*1000,0)</f>
        <v>0</v>
      </c>
      <c r="I6" s="418">
        <f>IF($Q$1&gt;0,TGsh!E4*$M$4%+TGsh!F4*(1-$M$4%),0)</f>
        <v>0</v>
      </c>
      <c r="J6" s="55">
        <f>M3-SUM(D6:E6)-F6</f>
        <v>0</v>
      </c>
      <c r="K6" s="294" t="str">
        <f>'G1'!K6</f>
        <v>Item</v>
      </c>
      <c r="L6" s="295" t="str">
        <f>'G1'!L6</f>
        <v>#</v>
      </c>
      <c r="M6" s="295" t="str">
        <f>'G1'!M6</f>
        <v>Real %</v>
      </c>
      <c r="N6" s="296" t="str">
        <f>'G1'!N6</f>
        <v>Guia %</v>
      </c>
      <c r="O6" s="305"/>
      <c r="P6" s="305"/>
      <c r="Q6" s="305"/>
      <c r="R6" s="34">
        <f>O6-IF(P$5="Bulto X 40 K",P6,P6/40)-Q6</f>
        <v>0</v>
      </c>
      <c r="S6" s="318"/>
      <c r="T6" s="305"/>
      <c r="U6" s="319"/>
      <c r="V6" s="34">
        <f>S6-IF(T$5="Bulto X 40 K",T6,T6/40)-U6</f>
        <v>0</v>
      </c>
      <c r="W6" s="305"/>
      <c r="X6" s="31"/>
      <c r="Y6" s="31"/>
      <c r="Z6" s="34">
        <f>W6-IF(X$5="Bulto X 40 K",X6,X6/40)-Y6</f>
        <v>0</v>
      </c>
      <c r="AA6" s="364">
        <f>O6+S6+W6</f>
        <v>0</v>
      </c>
      <c r="AB6" s="365">
        <f t="shared" ref="AB6:AB61" si="1">Q6+U6+Y6</f>
        <v>0</v>
      </c>
      <c r="AC6" s="366">
        <f>AA6-AD6-AB6</f>
        <v>0</v>
      </c>
      <c r="AD6" s="325">
        <f t="shared" ref="AD6:AD61" si="2">IF(P$5="Bulto X 40 K",P6,P6/40)+IF(T$5="Bulto X 40 K",T6,T6/40)+IF(X$5="Bulto X 40 K",X6,X6/40)</f>
        <v>0</v>
      </c>
      <c r="AE6" s="326">
        <f>AD6</f>
        <v>0</v>
      </c>
      <c r="AF6" s="349">
        <f t="shared" ref="AF6:AF37" si="3">MROUND(AH6*SUM(D6:F6,J6)/40000,0.1)</f>
        <v>0</v>
      </c>
      <c r="AG6" s="28">
        <f t="shared" ref="AG6:AG61" si="4">IF((J6+F6)&gt;0,AD6*40000/(J6+F6),0)</f>
        <v>0</v>
      </c>
      <c r="AH6" s="46">
        <f>IF($M$3&gt;0,TGsh!C4*$M$4%+TGsh!D4*(1-$M$4%),0)</f>
        <v>0</v>
      </c>
      <c r="AI6" s="334" t="s">
        <v>45</v>
      </c>
      <c r="AJ6" s="335" t="s">
        <v>6</v>
      </c>
      <c r="AK6" s="3">
        <f>IF((J12+SUM(F6:F12))&gt;0,SUM(AD6:AD12)*40000/(J12+SUM(F6:F12)),0)</f>
        <v>0</v>
      </c>
      <c r="AL6" s="41">
        <f>SUMIF($AD6:$AD12,"&gt;0",AH6:AH12)</f>
        <v>0</v>
      </c>
      <c r="AM6" s="336" t="str">
        <f>IF(AK6&gt;0,(AK6-AL6)/AL6*100,"")</f>
        <v/>
      </c>
      <c r="AN6" s="50"/>
      <c r="AO6" s="19" t="s">
        <v>9</v>
      </c>
      <c r="AP6" s="20" t="s">
        <v>24</v>
      </c>
      <c r="AQ6" s="20" t="s">
        <v>25</v>
      </c>
      <c r="AR6" s="21" t="s">
        <v>14</v>
      </c>
      <c r="AS6" s="72">
        <f t="shared" ref="AS6:AS61" si="5">IF(($P6+$T6+$X6)&gt;0,P6/($P6+$T6+$X6),0)</f>
        <v>0</v>
      </c>
      <c r="AT6" s="72">
        <f t="shared" ref="AT6:AT61" si="6">IF(($P6+$T6+$X6)&gt;0,T6/($P6+$T6+$X6),0)</f>
        <v>0</v>
      </c>
      <c r="AU6" s="72">
        <f t="shared" ref="AU6:AU61" si="7">IF(($P6+$T6+$X6)&gt;0,X6/($P6+$T6+$X6),0)</f>
        <v>0</v>
      </c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</row>
    <row r="7" spans="1:67" ht="16.5" thickBot="1" x14ac:dyDescent="0.3">
      <c r="A7" s="929"/>
      <c r="B7" s="53" t="str">
        <f t="shared" ref="B7:B61" si="8">IF(B6="","",B6+1)</f>
        <v/>
      </c>
      <c r="C7" s="375">
        <f t="shared" ref="C7:C61" si="9">C6+1</f>
        <v>2</v>
      </c>
      <c r="D7" s="395"/>
      <c r="E7" s="396"/>
      <c r="F7" s="397"/>
      <c r="G7" s="395"/>
      <c r="H7" s="404">
        <f t="shared" si="0"/>
        <v>0</v>
      </c>
      <c r="I7" s="420">
        <f>IF($Q$1&gt;0,TGsh!E5*$M$4%+TGsh!F5*(1-$M$4%),0)</f>
        <v>0</v>
      </c>
      <c r="J7" s="411">
        <f t="shared" ref="J7:J61" si="10">J6-SUM(D7:E7)-F7</f>
        <v>0</v>
      </c>
      <c r="K7" s="275" t="str">
        <f>'G1'!K7</f>
        <v xml:space="preserve">Mort Sem </v>
      </c>
      <c r="L7" s="289">
        <f>SUM(D6:D12)</f>
        <v>0</v>
      </c>
      <c r="M7" s="429">
        <f>IF(M3&gt;0,L7/M3,0)</f>
        <v>0</v>
      </c>
      <c r="N7" s="430">
        <f ca="1">SUM(TGsh!G4:G10)</f>
        <v>0</v>
      </c>
      <c r="O7" s="26"/>
      <c r="P7" s="306"/>
      <c r="Q7" s="306"/>
      <c r="R7" s="35">
        <f t="shared" ref="R7:R61" si="11">R6+O7-IF(P$5="Bulto X 40 K",P7,P7/40)-Q7</f>
        <v>0</v>
      </c>
      <c r="S7" s="320"/>
      <c r="T7" s="306"/>
      <c r="U7" s="321"/>
      <c r="V7" s="35">
        <f>V6+S7-IF(T$5="Bulto X 40 K",T7,T7/40)-U7</f>
        <v>0</v>
      </c>
      <c r="W7" s="306"/>
      <c r="X7" s="32"/>
      <c r="Y7" s="32"/>
      <c r="Z7" s="35">
        <f>Z6+W7-IF(X$5="Bulto X 40 K",X7,X7/40)-Y7</f>
        <v>0</v>
      </c>
      <c r="AA7" s="367">
        <f t="shared" ref="AA7:AA61" si="12">O7+S7+W7</f>
        <v>0</v>
      </c>
      <c r="AB7" s="368">
        <f t="shared" si="1"/>
        <v>0</v>
      </c>
      <c r="AC7" s="369">
        <f t="shared" ref="AC7:AC61" si="13">AC6+AA7-AD7-AB7</f>
        <v>0</v>
      </c>
      <c r="AD7" s="327">
        <f>IF(P$5="Bulto X 40 K",P7,P7/40)+IF(T$5="Bulto X 40 K",T7,T7/40)+IF(X$5="Bulto X 40 K",X7,X7/40)</f>
        <v>0</v>
      </c>
      <c r="AE7" s="328">
        <f t="shared" ref="AE7:AE61" si="14">AE6+AD7</f>
        <v>0</v>
      </c>
      <c r="AF7" s="350">
        <f t="shared" si="3"/>
        <v>0</v>
      </c>
      <c r="AG7" s="29">
        <f t="shared" si="4"/>
        <v>0</v>
      </c>
      <c r="AH7" s="47">
        <f>IF($M$3&gt;0,TGsh!C5*$M$4%+TGsh!D5*(1-$M$4%),0)</f>
        <v>0</v>
      </c>
      <c r="AI7" s="337">
        <f>IF(SUM(AD6:AD12)&gt;0,AVERAGEIF(AD6:AD12,"&gt;0",AG6:AG12),0)</f>
        <v>0</v>
      </c>
      <c r="AJ7" s="338" t="s">
        <v>4</v>
      </c>
      <c r="AK7" s="339">
        <f>IF((J12+SUM(F$6:F12))&gt;0,SUM(AD$6:AD12)*40000/(J12+SUM(F$6:F12)),0)</f>
        <v>0</v>
      </c>
      <c r="AL7" s="340">
        <f>AL6</f>
        <v>0</v>
      </c>
      <c r="AM7" s="341" t="str">
        <f>IF(AK6&gt;0,(AK7-AL7)/AL7*100,"")</f>
        <v/>
      </c>
      <c r="AN7" s="50"/>
      <c r="AO7" s="14">
        <v>1</v>
      </c>
      <c r="AP7" s="3">
        <f>AK6</f>
        <v>0</v>
      </c>
      <c r="AQ7" s="3">
        <f t="shared" ref="AQ7:AR7" si="15">AL6</f>
        <v>0</v>
      </c>
      <c r="AR7" s="15" t="str">
        <f t="shared" si="15"/>
        <v/>
      </c>
      <c r="AS7" s="72">
        <f t="shared" si="5"/>
        <v>0</v>
      </c>
      <c r="AT7" s="72">
        <f t="shared" si="6"/>
        <v>0</v>
      </c>
      <c r="AU7" s="72">
        <f t="shared" si="7"/>
        <v>0</v>
      </c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8" spans="1:67" ht="16.5" thickBot="1" x14ac:dyDescent="0.3">
      <c r="A8" s="929"/>
      <c r="B8" s="53" t="str">
        <f t="shared" si="8"/>
        <v/>
      </c>
      <c r="C8" s="375">
        <f t="shared" si="9"/>
        <v>3</v>
      </c>
      <c r="D8" s="395"/>
      <c r="E8" s="396"/>
      <c r="F8" s="397"/>
      <c r="G8" s="395"/>
      <c r="H8" s="404">
        <f t="shared" si="0"/>
        <v>0</v>
      </c>
      <c r="I8" s="420">
        <f>IF($Q$1&gt;0,TGsh!E6*$M$4%+TGsh!F6*(1-$M$4%),0)</f>
        <v>0</v>
      </c>
      <c r="J8" s="411">
        <f t="shared" si="10"/>
        <v>0</v>
      </c>
      <c r="K8" s="276" t="str">
        <f>'G1'!K8</f>
        <v xml:space="preserve">Sel Sem </v>
      </c>
      <c r="L8" s="290">
        <f>SUM(E6:E12)</f>
        <v>0</v>
      </c>
      <c r="M8" s="431">
        <f>IF(M3&gt;0,L8/M3,0)</f>
        <v>0</v>
      </c>
      <c r="N8" s="432">
        <v>0</v>
      </c>
      <c r="O8" s="26"/>
      <c r="P8" s="306"/>
      <c r="Q8" s="306"/>
      <c r="R8" s="315">
        <f t="shared" si="11"/>
        <v>0</v>
      </c>
      <c r="S8" s="320"/>
      <c r="T8" s="306"/>
      <c r="U8" s="321"/>
      <c r="V8" s="35">
        <f t="shared" ref="V8:V61" si="16">V7+S8-IF(T$5="Bulto X 40 K",T8,T8/40)-U8</f>
        <v>0</v>
      </c>
      <c r="W8" s="306"/>
      <c r="X8" s="32"/>
      <c r="Y8" s="32"/>
      <c r="Z8" s="35">
        <f t="shared" ref="Z8:Z61" si="17">Z7+W8-IF(X$5="Bulto X 40 K",X8,X8/40)-Y8</f>
        <v>0</v>
      </c>
      <c r="AA8" s="367">
        <f t="shared" si="12"/>
        <v>0</v>
      </c>
      <c r="AB8" s="368">
        <f t="shared" si="1"/>
        <v>0</v>
      </c>
      <c r="AC8" s="369">
        <f t="shared" si="13"/>
        <v>0</v>
      </c>
      <c r="AD8" s="327">
        <f t="shared" si="2"/>
        <v>0</v>
      </c>
      <c r="AE8" s="328">
        <f t="shared" si="14"/>
        <v>0</v>
      </c>
      <c r="AF8" s="350">
        <f t="shared" si="3"/>
        <v>0</v>
      </c>
      <c r="AG8" s="29">
        <f t="shared" si="4"/>
        <v>0</v>
      </c>
      <c r="AH8" s="47">
        <f>IF($M$3&gt;0,TGsh!C6*$M$4%+TGsh!D6*(1-$M$4%),0)</f>
        <v>0</v>
      </c>
      <c r="AI8" s="40" t="s">
        <v>44</v>
      </c>
      <c r="AJ8" s="4" t="s">
        <v>1</v>
      </c>
      <c r="AK8" s="24"/>
      <c r="AL8" s="42">
        <f>IF($Q$1&gt;0,I12,0)</f>
        <v>0</v>
      </c>
      <c r="AM8" s="9" t="str">
        <f>IF(AK8&gt;0,(AK8-AL8)/AL8*100,"")</f>
        <v/>
      </c>
      <c r="AN8" s="50"/>
      <c r="AO8" s="16">
        <f>AO7+1</f>
        <v>2</v>
      </c>
      <c r="AP8" s="8">
        <f>AK13</f>
        <v>0</v>
      </c>
      <c r="AQ8" s="8">
        <f t="shared" ref="AQ8:AR8" si="18">AL13</f>
        <v>0</v>
      </c>
      <c r="AR8" s="17" t="str">
        <f t="shared" si="18"/>
        <v/>
      </c>
      <c r="AS8" s="72">
        <f t="shared" si="5"/>
        <v>0</v>
      </c>
      <c r="AT8" s="72">
        <f t="shared" si="6"/>
        <v>0</v>
      </c>
      <c r="AU8" s="72">
        <f t="shared" si="7"/>
        <v>0</v>
      </c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</row>
    <row r="9" spans="1:67" ht="15.75" customHeight="1" x14ac:dyDescent="0.25">
      <c r="A9" s="929"/>
      <c r="B9" s="53" t="str">
        <f t="shared" si="8"/>
        <v/>
      </c>
      <c r="C9" s="375">
        <f t="shared" si="9"/>
        <v>4</v>
      </c>
      <c r="D9" s="395"/>
      <c r="E9" s="396"/>
      <c r="F9" s="397"/>
      <c r="G9" s="395"/>
      <c r="H9" s="404">
        <f t="shared" si="0"/>
        <v>0</v>
      </c>
      <c r="I9" s="420">
        <f>IF($Q$1&gt;0,TGsh!E7*$M$4%+TGsh!F7*(1-$M$4%),0)</f>
        <v>0</v>
      </c>
      <c r="J9" s="411">
        <f t="shared" si="10"/>
        <v>0</v>
      </c>
      <c r="K9" s="277" t="str">
        <f>'G1'!K9</f>
        <v xml:space="preserve">Mort + Sel Sem </v>
      </c>
      <c r="L9" s="291">
        <f>SUM(L7:L8)</f>
        <v>0</v>
      </c>
      <c r="M9" s="433">
        <f>IF(M3&gt;0,L9/M3,0)</f>
        <v>0</v>
      </c>
      <c r="N9" s="434">
        <f ca="1">SUM(N7:N8)</f>
        <v>0</v>
      </c>
      <c r="O9" s="26"/>
      <c r="P9" s="306"/>
      <c r="Q9" s="306"/>
      <c r="R9" s="315">
        <f t="shared" si="11"/>
        <v>0</v>
      </c>
      <c r="S9" s="320"/>
      <c r="T9" s="306"/>
      <c r="U9" s="321"/>
      <c r="V9" s="35">
        <f t="shared" si="16"/>
        <v>0</v>
      </c>
      <c r="W9" s="306"/>
      <c r="X9" s="32"/>
      <c r="Y9" s="32"/>
      <c r="Z9" s="35">
        <f t="shared" si="17"/>
        <v>0</v>
      </c>
      <c r="AA9" s="367">
        <f t="shared" si="12"/>
        <v>0</v>
      </c>
      <c r="AB9" s="368">
        <f t="shared" si="1"/>
        <v>0</v>
      </c>
      <c r="AC9" s="369">
        <f t="shared" si="13"/>
        <v>0</v>
      </c>
      <c r="AD9" s="327">
        <f t="shared" si="2"/>
        <v>0</v>
      </c>
      <c r="AE9" s="328">
        <f t="shared" si="14"/>
        <v>0</v>
      </c>
      <c r="AF9" s="350">
        <f t="shared" si="3"/>
        <v>0</v>
      </c>
      <c r="AG9" s="29">
        <f t="shared" si="4"/>
        <v>0</v>
      </c>
      <c r="AH9" s="47">
        <f>IF($M$3&gt;0,TGsh!C7*$M$4%+TGsh!D7*(1-$M$4%),0)</f>
        <v>0</v>
      </c>
      <c r="AI9" s="337">
        <f>IF(SUM(AD6:AD12)&gt;0,AVERAGEIF(AD6:AD12,"&gt;0",AH6:AH12),0)</f>
        <v>0</v>
      </c>
      <c r="AJ9" s="5" t="s">
        <v>2</v>
      </c>
      <c r="AK9" s="6">
        <f>IF(AND(U1&gt;0,AK8&gt;0),(AK8-U1)/7,0)</f>
        <v>0</v>
      </c>
      <c r="AL9" s="43">
        <f>IF(AL8&gt;0,(AL8-40)/7,0)</f>
        <v>0</v>
      </c>
      <c r="AM9" s="10" t="str">
        <f>IF(AK9&gt;0,(AK9-AL9)/AL9*100,"")</f>
        <v/>
      </c>
      <c r="AN9" s="50"/>
      <c r="AO9" s="16">
        <f t="shared" ref="AO9:AO14" si="19">AO8+1</f>
        <v>3</v>
      </c>
      <c r="AP9" s="8">
        <f>AK20</f>
        <v>0</v>
      </c>
      <c r="AQ9" s="8">
        <f t="shared" ref="AQ9:AR9" si="20">AL20</f>
        <v>0</v>
      </c>
      <c r="AR9" s="17" t="str">
        <f t="shared" si="20"/>
        <v/>
      </c>
      <c r="AS9" s="72">
        <f t="shared" si="5"/>
        <v>0</v>
      </c>
      <c r="AT9" s="72">
        <f t="shared" si="6"/>
        <v>0</v>
      </c>
      <c r="AU9" s="72">
        <f t="shared" si="7"/>
        <v>0</v>
      </c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</row>
    <row r="10" spans="1:67" ht="15.75" customHeight="1" x14ac:dyDescent="0.25">
      <c r="A10" s="929"/>
      <c r="B10" s="53" t="str">
        <f t="shared" si="8"/>
        <v/>
      </c>
      <c r="C10" s="375">
        <f t="shared" si="9"/>
        <v>5</v>
      </c>
      <c r="D10" s="395"/>
      <c r="E10" s="396"/>
      <c r="F10" s="397"/>
      <c r="G10" s="395"/>
      <c r="H10" s="404">
        <f t="shared" si="0"/>
        <v>0</v>
      </c>
      <c r="I10" s="420">
        <f>IF($Q$1&gt;0,TGsh!E8*$M$4%+TGsh!F8*(1-$M$4%),0)</f>
        <v>0</v>
      </c>
      <c r="J10" s="411">
        <f t="shared" si="10"/>
        <v>0</v>
      </c>
      <c r="K10" s="278" t="str">
        <f>'G1'!K10</f>
        <v xml:space="preserve">Mort Acum </v>
      </c>
      <c r="L10" s="292">
        <f>L7</f>
        <v>0</v>
      </c>
      <c r="M10" s="435">
        <f>IF(M3&gt;0,L10/M3,0)</f>
        <v>0</v>
      </c>
      <c r="N10" s="436">
        <f ca="1">TGsh!H10</f>
        <v>0</v>
      </c>
      <c r="O10" s="26"/>
      <c r="P10" s="306"/>
      <c r="Q10" s="306"/>
      <c r="R10" s="315">
        <f t="shared" si="11"/>
        <v>0</v>
      </c>
      <c r="S10" s="320"/>
      <c r="T10" s="306"/>
      <c r="U10" s="321"/>
      <c r="V10" s="35">
        <f t="shared" si="16"/>
        <v>0</v>
      </c>
      <c r="W10" s="306"/>
      <c r="X10" s="32"/>
      <c r="Y10" s="32"/>
      <c r="Z10" s="35">
        <f t="shared" si="17"/>
        <v>0</v>
      </c>
      <c r="AA10" s="367">
        <f t="shared" si="12"/>
        <v>0</v>
      </c>
      <c r="AB10" s="368">
        <f t="shared" si="1"/>
        <v>0</v>
      </c>
      <c r="AC10" s="369">
        <f t="shared" si="13"/>
        <v>0</v>
      </c>
      <c r="AD10" s="327">
        <f t="shared" si="2"/>
        <v>0</v>
      </c>
      <c r="AE10" s="328">
        <f t="shared" si="14"/>
        <v>0</v>
      </c>
      <c r="AF10" s="350">
        <f t="shared" si="3"/>
        <v>0</v>
      </c>
      <c r="AG10" s="29">
        <f t="shared" si="4"/>
        <v>0</v>
      </c>
      <c r="AH10" s="47">
        <f>IF($M$3&gt;0,TGsh!C8*$M$4%+TGsh!D8*(1-$M$4%),0)</f>
        <v>0</v>
      </c>
      <c r="AI10" s="891" t="s">
        <v>46</v>
      </c>
      <c r="AJ10" s="7" t="s">
        <v>3</v>
      </c>
      <c r="AK10" s="13">
        <f>IF(AK8&gt;0,AK7/AK8,0)</f>
        <v>0</v>
      </c>
      <c r="AL10" s="44">
        <f>IF(AL8&gt;0,AL7/AL8,0)</f>
        <v>0</v>
      </c>
      <c r="AM10" s="11" t="str">
        <f>IF(AK8&gt;0,-(AK10-AL10)/AL10*100,"")</f>
        <v/>
      </c>
      <c r="AN10" s="50"/>
      <c r="AO10" s="16">
        <f t="shared" si="19"/>
        <v>4</v>
      </c>
      <c r="AP10" s="8">
        <f>AK27</f>
        <v>0</v>
      </c>
      <c r="AQ10" s="8">
        <f t="shared" ref="AQ10:AR10" si="21">AL27</f>
        <v>0</v>
      </c>
      <c r="AR10" s="17" t="str">
        <f t="shared" si="21"/>
        <v/>
      </c>
      <c r="AS10" s="72">
        <f t="shared" si="5"/>
        <v>0</v>
      </c>
      <c r="AT10" s="72">
        <f t="shared" si="6"/>
        <v>0</v>
      </c>
      <c r="AU10" s="72">
        <f t="shared" si="7"/>
        <v>0</v>
      </c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</row>
    <row r="11" spans="1:67" ht="15.75" x14ac:dyDescent="0.25">
      <c r="A11" s="929"/>
      <c r="B11" s="53" t="str">
        <f t="shared" si="8"/>
        <v/>
      </c>
      <c r="C11" s="375">
        <f t="shared" si="9"/>
        <v>6</v>
      </c>
      <c r="D11" s="395"/>
      <c r="E11" s="396"/>
      <c r="F11" s="399"/>
      <c r="G11" s="409"/>
      <c r="H11" s="405">
        <f t="shared" si="0"/>
        <v>0</v>
      </c>
      <c r="I11" s="420">
        <f>IF($Q$1&gt;0,TGsh!E9*$M$4%+TGsh!F9*(1-$M$4%),0)</f>
        <v>0</v>
      </c>
      <c r="J11" s="412">
        <f t="shared" si="10"/>
        <v>0</v>
      </c>
      <c r="K11" s="276" t="str">
        <f>'G1'!K11</f>
        <v xml:space="preserve">Sel Acum </v>
      </c>
      <c r="L11" s="290">
        <f>L8</f>
        <v>0</v>
      </c>
      <c r="M11" s="431">
        <f>IF(M3&gt;0,L11/M3,0)</f>
        <v>0</v>
      </c>
      <c r="N11" s="437">
        <f>N8</f>
        <v>0</v>
      </c>
      <c r="O11" s="26"/>
      <c r="P11" s="306"/>
      <c r="Q11" s="306"/>
      <c r="R11" s="315">
        <f t="shared" si="11"/>
        <v>0</v>
      </c>
      <c r="S11" s="320"/>
      <c r="T11" s="306"/>
      <c r="U11" s="321"/>
      <c r="V11" s="35">
        <f t="shared" si="16"/>
        <v>0</v>
      </c>
      <c r="W11" s="306"/>
      <c r="X11" s="32"/>
      <c r="Y11" s="32"/>
      <c r="Z11" s="35">
        <f t="shared" si="17"/>
        <v>0</v>
      </c>
      <c r="AA11" s="367">
        <f t="shared" si="12"/>
        <v>0</v>
      </c>
      <c r="AB11" s="368">
        <f t="shared" si="1"/>
        <v>0</v>
      </c>
      <c r="AC11" s="369">
        <f t="shared" si="13"/>
        <v>0</v>
      </c>
      <c r="AD11" s="327">
        <f t="shared" si="2"/>
        <v>0</v>
      </c>
      <c r="AE11" s="328">
        <f t="shared" si="14"/>
        <v>0</v>
      </c>
      <c r="AF11" s="350">
        <f t="shared" si="3"/>
        <v>0</v>
      </c>
      <c r="AG11" s="29">
        <f t="shared" si="4"/>
        <v>0</v>
      </c>
      <c r="AH11" s="47">
        <f>IF($M$3&gt;0,TGsh!C9*$M$4%+TGsh!D9*(1-$M$4%),0)</f>
        <v>0</v>
      </c>
      <c r="AI11" s="892"/>
      <c r="AJ11" s="7" t="s">
        <v>37</v>
      </c>
      <c r="AK11" s="12">
        <f>IF(AK10&gt;0,AK8/AK10/10,0)</f>
        <v>0</v>
      </c>
      <c r="AL11" s="45">
        <f>IF(AL10&gt;0,AL8/AL10/10,0)</f>
        <v>0</v>
      </c>
      <c r="AM11" s="11" t="str">
        <f>IF(AK11&gt;0,(AK11-AL11)/AL11*100,"")</f>
        <v/>
      </c>
      <c r="AN11" s="50"/>
      <c r="AO11" s="16">
        <f t="shared" si="19"/>
        <v>5</v>
      </c>
      <c r="AP11" s="8">
        <f>AK34</f>
        <v>0</v>
      </c>
      <c r="AQ11" s="8">
        <f t="shared" ref="AQ11:AR11" si="22">AL34</f>
        <v>0</v>
      </c>
      <c r="AR11" s="17" t="str">
        <f t="shared" si="22"/>
        <v/>
      </c>
      <c r="AS11" s="72">
        <f t="shared" si="5"/>
        <v>0</v>
      </c>
      <c r="AT11" s="72">
        <f t="shared" si="6"/>
        <v>0</v>
      </c>
      <c r="AU11" s="72">
        <f t="shared" si="7"/>
        <v>0</v>
      </c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</row>
    <row r="12" spans="1:67" ht="16.5" thickBot="1" x14ac:dyDescent="0.3">
      <c r="A12" s="930"/>
      <c r="B12" s="54" t="str">
        <f t="shared" si="8"/>
        <v/>
      </c>
      <c r="C12" s="376">
        <f t="shared" si="9"/>
        <v>7</v>
      </c>
      <c r="D12" s="400"/>
      <c r="E12" s="401"/>
      <c r="F12" s="402"/>
      <c r="G12" s="400"/>
      <c r="H12" s="406">
        <f t="shared" si="0"/>
        <v>0</v>
      </c>
      <c r="I12" s="419">
        <f>IF($Q$1&gt;0,TGsh!E10*$M$4%+TGsh!F10*(1-$M$4%),0)</f>
        <v>0</v>
      </c>
      <c r="J12" s="56">
        <f t="shared" si="10"/>
        <v>0</v>
      </c>
      <c r="K12" s="279" t="str">
        <f>'G1'!K12</f>
        <v xml:space="preserve">Mort + Sel Acum </v>
      </c>
      <c r="L12" s="293">
        <f>SUM(L10:L11)</f>
        <v>0</v>
      </c>
      <c r="M12" s="438">
        <f>IF(M3&gt;0,L12/M3,0)</f>
        <v>0</v>
      </c>
      <c r="N12" s="439">
        <f ca="1">SUM(N10:N11)</f>
        <v>0</v>
      </c>
      <c r="O12" s="27"/>
      <c r="P12" s="307"/>
      <c r="Q12" s="307"/>
      <c r="R12" s="316">
        <f t="shared" si="11"/>
        <v>0</v>
      </c>
      <c r="S12" s="322"/>
      <c r="T12" s="307"/>
      <c r="U12" s="323"/>
      <c r="V12" s="324">
        <f t="shared" si="16"/>
        <v>0</v>
      </c>
      <c r="W12" s="307"/>
      <c r="X12" s="33"/>
      <c r="Y12" s="33"/>
      <c r="Z12" s="36">
        <f t="shared" si="17"/>
        <v>0</v>
      </c>
      <c r="AA12" s="370">
        <f t="shared" si="12"/>
        <v>0</v>
      </c>
      <c r="AB12" s="371">
        <f t="shared" si="1"/>
        <v>0</v>
      </c>
      <c r="AC12" s="372">
        <f t="shared" si="13"/>
        <v>0</v>
      </c>
      <c r="AD12" s="351">
        <f t="shared" si="2"/>
        <v>0</v>
      </c>
      <c r="AE12" s="502">
        <f t="shared" si="14"/>
        <v>0</v>
      </c>
      <c r="AF12" s="352">
        <f t="shared" si="3"/>
        <v>0</v>
      </c>
      <c r="AG12" s="30">
        <f t="shared" si="4"/>
        <v>0</v>
      </c>
      <c r="AH12" s="48">
        <f>IF($M$3&gt;0,TGsh!C10*$M$4%+TGsh!D10*(1-$M$4%),0)</f>
        <v>0</v>
      </c>
      <c r="AI12" s="342">
        <f>IF('Liq-Zoot'!$F$31&gt;0,AK8/1000*J12/'Liq-Zoot'!$F$31,0)</f>
        <v>0</v>
      </c>
      <c r="AJ12" s="343" t="s">
        <v>5</v>
      </c>
      <c r="AK12" s="344">
        <f>IF(AK10&gt;0,AK11/AK10,0)</f>
        <v>0</v>
      </c>
      <c r="AL12" s="345">
        <f>IF(AL10&gt;0,AL11/AL10,0)</f>
        <v>0</v>
      </c>
      <c r="AM12" s="346" t="str">
        <f>IF(AK12&gt;0,(AK12-AL12)/AL12*100,"")</f>
        <v/>
      </c>
      <c r="AN12" s="50"/>
      <c r="AO12" s="16">
        <f t="shared" si="19"/>
        <v>6</v>
      </c>
      <c r="AP12" s="8">
        <f>AK41</f>
        <v>0</v>
      </c>
      <c r="AQ12" s="8">
        <f t="shared" ref="AQ12:AR12" si="23">AL41</f>
        <v>0</v>
      </c>
      <c r="AR12" s="17" t="str">
        <f t="shared" si="23"/>
        <v/>
      </c>
      <c r="AS12" s="72">
        <f t="shared" si="5"/>
        <v>0</v>
      </c>
      <c r="AT12" s="72">
        <f t="shared" si="6"/>
        <v>0</v>
      </c>
      <c r="AU12" s="72">
        <f t="shared" si="7"/>
        <v>0</v>
      </c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</row>
    <row r="13" spans="1:67" ht="15.75" customHeight="1" x14ac:dyDescent="0.25">
      <c r="A13" s="928" t="s">
        <v>11</v>
      </c>
      <c r="B13" s="52" t="str">
        <f t="shared" si="8"/>
        <v/>
      </c>
      <c r="C13" s="374">
        <f t="shared" si="9"/>
        <v>8</v>
      </c>
      <c r="D13" s="392"/>
      <c r="E13" s="393"/>
      <c r="F13" s="394"/>
      <c r="G13" s="392"/>
      <c r="H13" s="403">
        <f t="shared" si="0"/>
        <v>0</v>
      </c>
      <c r="I13" s="418">
        <f>IF($Q$1&gt;0,TGsh!E11*$M$4%+TGsh!F11*(1-$M$4%),0)</f>
        <v>0</v>
      </c>
      <c r="J13" s="55">
        <f t="shared" si="10"/>
        <v>0</v>
      </c>
      <c r="K13" s="294" t="str">
        <f>$K$6</f>
        <v>Item</v>
      </c>
      <c r="L13" s="295" t="str">
        <f>$L$6</f>
        <v>#</v>
      </c>
      <c r="M13" s="295" t="str">
        <f>$M$6</f>
        <v>Real %</v>
      </c>
      <c r="N13" s="296" t="str">
        <f>$N$6</f>
        <v>Guia %</v>
      </c>
      <c r="O13" s="25"/>
      <c r="P13" s="31"/>
      <c r="Q13" s="305"/>
      <c r="R13" s="314">
        <f t="shared" si="11"/>
        <v>0</v>
      </c>
      <c r="S13" s="318"/>
      <c r="T13" s="31"/>
      <c r="U13" s="319"/>
      <c r="V13" s="34">
        <f>V12+S13-IF(T$5="Bulto X 40 K",T13,T13/40)-U13</f>
        <v>0</v>
      </c>
      <c r="W13" s="305"/>
      <c r="X13" s="31"/>
      <c r="Y13" s="31"/>
      <c r="Z13" s="34">
        <f>Z12+W13-IF(X$5="Bulto X 40 K",X13,X13/40)-Y13</f>
        <v>0</v>
      </c>
      <c r="AA13" s="364">
        <f t="shared" si="12"/>
        <v>0</v>
      </c>
      <c r="AB13" s="365">
        <f t="shared" si="1"/>
        <v>0</v>
      </c>
      <c r="AC13" s="366">
        <f t="shared" si="13"/>
        <v>0</v>
      </c>
      <c r="AD13" s="325">
        <f t="shared" si="2"/>
        <v>0</v>
      </c>
      <c r="AE13" s="326">
        <f t="shared" si="14"/>
        <v>0</v>
      </c>
      <c r="AF13" s="349">
        <f t="shared" si="3"/>
        <v>0</v>
      </c>
      <c r="AG13" s="28">
        <f t="shared" si="4"/>
        <v>0</v>
      </c>
      <c r="AH13" s="46">
        <f>IF($M$3&gt;0,TGsh!C11*$M$4%+TGsh!D11*(1-$M$4%),0)</f>
        <v>0</v>
      </c>
      <c r="AI13" s="347" t="str">
        <f>$AI$6</f>
        <v>Gr. Obten.</v>
      </c>
      <c r="AJ13" s="335" t="str">
        <f>$AJ$6</f>
        <v>Cons Sem</v>
      </c>
      <c r="AK13" s="3">
        <f>IF((J19+SUM(F13:F19))&gt;0,SUM(AD13:AD19)*40000/(J19+SUM(F13:F19)),0)</f>
        <v>0</v>
      </c>
      <c r="AL13" s="41">
        <f>SUMIF($AD13:$AD19,"&gt;0",AH13:AH19)</f>
        <v>0</v>
      </c>
      <c r="AM13" s="336" t="str">
        <f>IF(AK13&gt;0,(AK13-AL13)/AL13*100,"")</f>
        <v/>
      </c>
      <c r="AN13" s="50"/>
      <c r="AO13" s="16">
        <f t="shared" si="19"/>
        <v>7</v>
      </c>
      <c r="AP13" s="8">
        <f>AK48</f>
        <v>0</v>
      </c>
      <c r="AQ13" s="8">
        <f t="shared" ref="AQ13:AR13" si="24">AL48</f>
        <v>0</v>
      </c>
      <c r="AR13" s="17" t="str">
        <f t="shared" si="24"/>
        <v/>
      </c>
      <c r="AS13" s="72">
        <f t="shared" si="5"/>
        <v>0</v>
      </c>
      <c r="AT13" s="72">
        <f t="shared" si="6"/>
        <v>0</v>
      </c>
      <c r="AU13" s="72">
        <f t="shared" si="7"/>
        <v>0</v>
      </c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</row>
    <row r="14" spans="1:67" ht="16.5" thickBot="1" x14ac:dyDescent="0.3">
      <c r="A14" s="929"/>
      <c r="B14" s="53" t="str">
        <f t="shared" si="8"/>
        <v/>
      </c>
      <c r="C14" s="375">
        <f t="shared" si="9"/>
        <v>9</v>
      </c>
      <c r="D14" s="395"/>
      <c r="E14" s="396"/>
      <c r="F14" s="397"/>
      <c r="G14" s="395"/>
      <c r="H14" s="404">
        <f t="shared" si="0"/>
        <v>0</v>
      </c>
      <c r="I14" s="421">
        <f>IF($Q$1&gt;0,TGsh!E12*$M$4%+TGsh!F12*(1-$M$4%),0)</f>
        <v>0</v>
      </c>
      <c r="J14" s="411">
        <f t="shared" si="10"/>
        <v>0</v>
      </c>
      <c r="K14" s="297" t="str">
        <f>$K$7</f>
        <v xml:space="preserve">Mort Sem </v>
      </c>
      <c r="L14" s="289">
        <f>SUM(D13:D19)</f>
        <v>0</v>
      </c>
      <c r="M14" s="429">
        <f>IF(J12&gt;0,L14/J12,0)</f>
        <v>0</v>
      </c>
      <c r="N14" s="430">
        <f ca="1">SUM(TGsh!G11:G17)</f>
        <v>0</v>
      </c>
      <c r="O14" s="26"/>
      <c r="P14" s="32"/>
      <c r="Q14" s="32"/>
      <c r="R14" s="315">
        <f t="shared" si="11"/>
        <v>0</v>
      </c>
      <c r="S14" s="320"/>
      <c r="T14" s="32"/>
      <c r="U14" s="321"/>
      <c r="V14" s="35">
        <f>V13+S14-IF(T$5="Bulto X 40 K",T14,T14/40)-U14</f>
        <v>0</v>
      </c>
      <c r="W14" s="306"/>
      <c r="X14" s="32"/>
      <c r="Y14" s="32"/>
      <c r="Z14" s="35">
        <f>Z13+W14-IF(X$5="Bulto X 40 K",X14,X14/40)-Y14</f>
        <v>0</v>
      </c>
      <c r="AA14" s="367">
        <f t="shared" si="12"/>
        <v>0</v>
      </c>
      <c r="AB14" s="368">
        <f t="shared" si="1"/>
        <v>0</v>
      </c>
      <c r="AC14" s="369">
        <f t="shared" si="13"/>
        <v>0</v>
      </c>
      <c r="AD14" s="327">
        <f t="shared" si="2"/>
        <v>0</v>
      </c>
      <c r="AE14" s="328">
        <f t="shared" si="14"/>
        <v>0</v>
      </c>
      <c r="AF14" s="350">
        <f t="shared" si="3"/>
        <v>0</v>
      </c>
      <c r="AG14" s="29">
        <f t="shared" si="4"/>
        <v>0</v>
      </c>
      <c r="AH14" s="47">
        <f>IF($M$3&gt;0,TGsh!C12*$M$4%+TGsh!D12*(1-$M$4%),0)</f>
        <v>0</v>
      </c>
      <c r="AI14" s="337">
        <f>IF(SUM(AD13:AD19)&gt;0,AVERAGEIF(AD13:AD19,"&gt;0",AG13:AG19),0)</f>
        <v>0</v>
      </c>
      <c r="AJ14" s="338" t="str">
        <f>$AJ$7</f>
        <v>Cons Acum</v>
      </c>
      <c r="AK14" s="339">
        <f>IF((J19+SUM(F$6:F19))&gt;0,SUM(AD$6:AD19)*40000/(J19+SUM(F$6:F19)),0)</f>
        <v>0</v>
      </c>
      <c r="AL14" s="340">
        <f>AL7+AL13</f>
        <v>0</v>
      </c>
      <c r="AM14" s="341" t="str">
        <f>IF(AK13&gt;0,(AK14-AL14)/AL14*100,"")</f>
        <v/>
      </c>
      <c r="AN14" s="50"/>
      <c r="AO14" s="18">
        <f t="shared" si="19"/>
        <v>8</v>
      </c>
      <c r="AP14" s="22">
        <f>AK55</f>
        <v>0</v>
      </c>
      <c r="AQ14" s="22">
        <f t="shared" ref="AQ14:AR14" si="25">AL55</f>
        <v>0</v>
      </c>
      <c r="AR14" s="23" t="str">
        <f t="shared" si="25"/>
        <v/>
      </c>
      <c r="AS14" s="72">
        <f t="shared" si="5"/>
        <v>0</v>
      </c>
      <c r="AT14" s="72">
        <f t="shared" si="6"/>
        <v>0</v>
      </c>
      <c r="AU14" s="72">
        <f t="shared" si="7"/>
        <v>0</v>
      </c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</row>
    <row r="15" spans="1:67" ht="16.5" thickBot="1" x14ac:dyDescent="0.3">
      <c r="A15" s="929"/>
      <c r="B15" s="53" t="str">
        <f t="shared" si="8"/>
        <v/>
      </c>
      <c r="C15" s="375">
        <f t="shared" si="9"/>
        <v>10</v>
      </c>
      <c r="D15" s="395"/>
      <c r="E15" s="396"/>
      <c r="F15" s="397"/>
      <c r="G15" s="395"/>
      <c r="H15" s="404">
        <f t="shared" si="0"/>
        <v>0</v>
      </c>
      <c r="I15" s="421">
        <f>IF($Q$1&gt;0,TGsh!E13*$M$4%+TGsh!F13*(1-$M$4%),0)</f>
        <v>0</v>
      </c>
      <c r="J15" s="411">
        <f t="shared" si="10"/>
        <v>0</v>
      </c>
      <c r="K15" s="298" t="str">
        <f>$K$8</f>
        <v xml:space="preserve">Sel Sem </v>
      </c>
      <c r="L15" s="290">
        <f>SUM(E13:E19)</f>
        <v>0</v>
      </c>
      <c r="M15" s="431">
        <f>IF(J12&gt;0,L15/J12,0)</f>
        <v>0</v>
      </c>
      <c r="N15" s="432">
        <v>0</v>
      </c>
      <c r="O15" s="26"/>
      <c r="P15" s="32"/>
      <c r="Q15" s="32"/>
      <c r="R15" s="315">
        <f t="shared" si="11"/>
        <v>0</v>
      </c>
      <c r="S15" s="320"/>
      <c r="T15" s="32"/>
      <c r="U15" s="321"/>
      <c r="V15" s="35">
        <f t="shared" si="16"/>
        <v>0</v>
      </c>
      <c r="W15" s="306"/>
      <c r="X15" s="32"/>
      <c r="Y15" s="32"/>
      <c r="Z15" s="35">
        <f t="shared" si="17"/>
        <v>0</v>
      </c>
      <c r="AA15" s="367">
        <f t="shared" si="12"/>
        <v>0</v>
      </c>
      <c r="AB15" s="368">
        <f t="shared" si="1"/>
        <v>0</v>
      </c>
      <c r="AC15" s="369">
        <f t="shared" si="13"/>
        <v>0</v>
      </c>
      <c r="AD15" s="327">
        <f t="shared" si="2"/>
        <v>0</v>
      </c>
      <c r="AE15" s="328">
        <f t="shared" si="14"/>
        <v>0</v>
      </c>
      <c r="AF15" s="350">
        <f t="shared" si="3"/>
        <v>0</v>
      </c>
      <c r="AG15" s="29">
        <f t="shared" si="4"/>
        <v>0</v>
      </c>
      <c r="AH15" s="47">
        <f>IF($M$3&gt;0,TGsh!C13*$M$4%+TGsh!D13*(1-$M$4%),0)</f>
        <v>0</v>
      </c>
      <c r="AI15" s="40" t="str">
        <f>$AI$8</f>
        <v>Gr. Guía</v>
      </c>
      <c r="AJ15" s="4" t="str">
        <f>$AJ$8</f>
        <v>Peso Sem</v>
      </c>
      <c r="AK15" s="24"/>
      <c r="AL15" s="42">
        <f>IF($Q$1&gt;0,I19,0)</f>
        <v>0</v>
      </c>
      <c r="AM15" s="9" t="str">
        <f>IF(AK15&gt;0,(AK15-AL15)/AL15*100,"")</f>
        <v/>
      </c>
      <c r="AN15" s="50"/>
      <c r="AO15" s="19" t="s">
        <v>9</v>
      </c>
      <c r="AP15" s="20" t="s">
        <v>27</v>
      </c>
      <c r="AQ15" s="20" t="s">
        <v>28</v>
      </c>
      <c r="AR15" s="21" t="s">
        <v>14</v>
      </c>
      <c r="AS15" s="72">
        <f t="shared" si="5"/>
        <v>0</v>
      </c>
      <c r="AT15" s="72">
        <f t="shared" si="6"/>
        <v>0</v>
      </c>
      <c r="AU15" s="72">
        <f t="shared" si="7"/>
        <v>0</v>
      </c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</row>
    <row r="16" spans="1:67" ht="15.75" x14ac:dyDescent="0.25">
      <c r="A16" s="929"/>
      <c r="B16" s="53" t="str">
        <f t="shared" si="8"/>
        <v/>
      </c>
      <c r="C16" s="375">
        <f t="shared" si="9"/>
        <v>11</v>
      </c>
      <c r="D16" s="395"/>
      <c r="E16" s="396"/>
      <c r="F16" s="397"/>
      <c r="G16" s="395"/>
      <c r="H16" s="404">
        <f t="shared" si="0"/>
        <v>0</v>
      </c>
      <c r="I16" s="421">
        <f>IF($Q$1&gt;0,TGsh!E14*$M$4%+TGsh!F14*(1-$M$4%),0)</f>
        <v>0</v>
      </c>
      <c r="J16" s="411">
        <f t="shared" si="10"/>
        <v>0</v>
      </c>
      <c r="K16" s="299" t="str">
        <f>$K$9</f>
        <v xml:space="preserve">Mort + Sel Sem </v>
      </c>
      <c r="L16" s="291">
        <f>SUM(L14:L15)</f>
        <v>0</v>
      </c>
      <c r="M16" s="433">
        <f>IF(J12&gt;0,L16/J12,0)</f>
        <v>0</v>
      </c>
      <c r="N16" s="434">
        <f ca="1">SUM(N14:N15)</f>
        <v>0</v>
      </c>
      <c r="O16" s="26"/>
      <c r="P16" s="32"/>
      <c r="Q16" s="32"/>
      <c r="R16" s="315">
        <f t="shared" si="11"/>
        <v>0</v>
      </c>
      <c r="S16" s="320"/>
      <c r="T16" s="32"/>
      <c r="U16" s="321"/>
      <c r="V16" s="35">
        <f t="shared" si="16"/>
        <v>0</v>
      </c>
      <c r="W16" s="306"/>
      <c r="X16" s="32"/>
      <c r="Y16" s="32"/>
      <c r="Z16" s="35">
        <f t="shared" si="17"/>
        <v>0</v>
      </c>
      <c r="AA16" s="367">
        <f t="shared" si="12"/>
        <v>0</v>
      </c>
      <c r="AB16" s="368">
        <f t="shared" si="1"/>
        <v>0</v>
      </c>
      <c r="AC16" s="369">
        <f t="shared" si="13"/>
        <v>0</v>
      </c>
      <c r="AD16" s="327">
        <f t="shared" si="2"/>
        <v>0</v>
      </c>
      <c r="AE16" s="328">
        <f t="shared" si="14"/>
        <v>0</v>
      </c>
      <c r="AF16" s="350">
        <f t="shared" si="3"/>
        <v>0</v>
      </c>
      <c r="AG16" s="29">
        <f t="shared" si="4"/>
        <v>0</v>
      </c>
      <c r="AH16" s="47">
        <f>IF($M$3&gt;0,TGsh!C14*$M$4%+TGsh!D14*(1-$M$4%),0)</f>
        <v>0</v>
      </c>
      <c r="AI16" s="337">
        <f>IF(SUM(AD13:AD19)&gt;0,AVERAGEIF(AD13:AD19,"&gt;0",AH13:AH19),0)</f>
        <v>0</v>
      </c>
      <c r="AJ16" s="5" t="str">
        <f>AJ9</f>
        <v>Gan Dia</v>
      </c>
      <c r="AK16" s="6">
        <f>IF(AND(AK8&gt;0,AK15&gt;0),(AK15-AK8)/7,0)</f>
        <v>0</v>
      </c>
      <c r="AL16" s="43">
        <f>IF(AND(AL8&gt;0,AL15&gt;0),(AL15-AL8)/7,0)</f>
        <v>0</v>
      </c>
      <c r="AM16" s="10" t="str">
        <f>IF(AK16&gt;0,(AK16-AL16)/AL16*100,"")</f>
        <v/>
      </c>
      <c r="AN16" s="50"/>
      <c r="AO16" s="14">
        <v>1</v>
      </c>
      <c r="AP16" s="3">
        <f>AK7</f>
        <v>0</v>
      </c>
      <c r="AQ16" s="3">
        <f>AL7</f>
        <v>0</v>
      </c>
      <c r="AR16" s="15" t="str">
        <f>AM7</f>
        <v/>
      </c>
      <c r="AS16" s="72">
        <f t="shared" si="5"/>
        <v>0</v>
      </c>
      <c r="AT16" s="72">
        <f t="shared" si="6"/>
        <v>0</v>
      </c>
      <c r="AU16" s="72">
        <f t="shared" si="7"/>
        <v>0</v>
      </c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</row>
    <row r="17" spans="1:58" ht="15.75" customHeight="1" x14ac:dyDescent="0.25">
      <c r="A17" s="929"/>
      <c r="B17" s="53" t="str">
        <f t="shared" si="8"/>
        <v/>
      </c>
      <c r="C17" s="375">
        <f t="shared" si="9"/>
        <v>12</v>
      </c>
      <c r="D17" s="395"/>
      <c r="E17" s="396"/>
      <c r="F17" s="397"/>
      <c r="G17" s="395"/>
      <c r="H17" s="404">
        <f t="shared" si="0"/>
        <v>0</v>
      </c>
      <c r="I17" s="421">
        <f>IF($Q$1&gt;0,TGsh!E15*$M$4%+TGsh!F15*(1-$M$4%),0)</f>
        <v>0</v>
      </c>
      <c r="J17" s="411">
        <f t="shared" si="10"/>
        <v>0</v>
      </c>
      <c r="K17" s="300" t="str">
        <f>$K$10</f>
        <v xml:space="preserve">Mort Acum </v>
      </c>
      <c r="L17" s="292">
        <f>L14+L10</f>
        <v>0</v>
      </c>
      <c r="M17" s="435">
        <f>IF($M$3&gt;0,L17/$M$3,0)</f>
        <v>0</v>
      </c>
      <c r="N17" s="436">
        <f ca="1">TGsh!H17</f>
        <v>0</v>
      </c>
      <c r="O17" s="26"/>
      <c r="P17" s="32"/>
      <c r="Q17" s="32"/>
      <c r="R17" s="315">
        <f t="shared" si="11"/>
        <v>0</v>
      </c>
      <c r="S17" s="320"/>
      <c r="T17" s="32"/>
      <c r="U17" s="321"/>
      <c r="V17" s="35">
        <f t="shared" si="16"/>
        <v>0</v>
      </c>
      <c r="W17" s="306"/>
      <c r="X17" s="32"/>
      <c r="Y17" s="32"/>
      <c r="Z17" s="35">
        <f t="shared" si="17"/>
        <v>0</v>
      </c>
      <c r="AA17" s="367">
        <f t="shared" si="12"/>
        <v>0</v>
      </c>
      <c r="AB17" s="368">
        <f t="shared" si="1"/>
        <v>0</v>
      </c>
      <c r="AC17" s="369">
        <f t="shared" si="13"/>
        <v>0</v>
      </c>
      <c r="AD17" s="327">
        <f t="shared" si="2"/>
        <v>0</v>
      </c>
      <c r="AE17" s="328">
        <f t="shared" si="14"/>
        <v>0</v>
      </c>
      <c r="AF17" s="350">
        <f t="shared" si="3"/>
        <v>0</v>
      </c>
      <c r="AG17" s="29">
        <f t="shared" si="4"/>
        <v>0</v>
      </c>
      <c r="AH17" s="47">
        <f>IF($M$3&gt;0,TGsh!C15*$M$4%+TGsh!D15*(1-$M$4%),0)</f>
        <v>0</v>
      </c>
      <c r="AI17" s="891" t="s">
        <v>46</v>
      </c>
      <c r="AJ17" s="7" t="str">
        <f>$AJ$10</f>
        <v>Conversión</v>
      </c>
      <c r="AK17" s="13">
        <f>IF(AK15&gt;0,AK14/AK15,0)</f>
        <v>0</v>
      </c>
      <c r="AL17" s="44">
        <f>IF(AL15&gt;0,AL14/AL15,0)</f>
        <v>0</v>
      </c>
      <c r="AM17" s="11" t="str">
        <f>IF(AK15&gt;0,-(AK17-AL17)/AL17*100,"")</f>
        <v/>
      </c>
      <c r="AN17" s="50"/>
      <c r="AO17" s="16">
        <f>AO16+1</f>
        <v>2</v>
      </c>
      <c r="AP17" s="8">
        <f>AK14</f>
        <v>0</v>
      </c>
      <c r="AQ17" s="8">
        <f>AL14</f>
        <v>0</v>
      </c>
      <c r="AR17" s="17" t="str">
        <f>AM14</f>
        <v/>
      </c>
      <c r="AS17" s="72">
        <f t="shared" si="5"/>
        <v>0</v>
      </c>
      <c r="AT17" s="72">
        <f t="shared" si="6"/>
        <v>0</v>
      </c>
      <c r="AU17" s="72">
        <f t="shared" si="7"/>
        <v>0</v>
      </c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</row>
    <row r="18" spans="1:58" ht="15.75" x14ac:dyDescent="0.25">
      <c r="A18" s="929"/>
      <c r="B18" s="53" t="str">
        <f t="shared" si="8"/>
        <v/>
      </c>
      <c r="C18" s="375">
        <f t="shared" si="9"/>
        <v>13</v>
      </c>
      <c r="D18" s="395"/>
      <c r="E18" s="396"/>
      <c r="F18" s="397"/>
      <c r="G18" s="409"/>
      <c r="H18" s="405">
        <f t="shared" si="0"/>
        <v>0</v>
      </c>
      <c r="I18" s="420">
        <f>IF($Q$1&gt;0,TGsh!E16*$M$4%+TGsh!F16*(1-$M$4%),0)</f>
        <v>0</v>
      </c>
      <c r="J18" s="412">
        <f t="shared" si="10"/>
        <v>0</v>
      </c>
      <c r="K18" s="298" t="str">
        <f>$K$11</f>
        <v xml:space="preserve">Sel Acum </v>
      </c>
      <c r="L18" s="290">
        <f>L15+L11</f>
        <v>0</v>
      </c>
      <c r="M18" s="431">
        <f>IF($M$3&gt;0,L18/$M$3,0)</f>
        <v>0</v>
      </c>
      <c r="N18" s="437">
        <f>N15+N11</f>
        <v>0</v>
      </c>
      <c r="O18" s="26"/>
      <c r="P18" s="32"/>
      <c r="Q18" s="32"/>
      <c r="R18" s="315">
        <f t="shared" si="11"/>
        <v>0</v>
      </c>
      <c r="S18" s="320"/>
      <c r="T18" s="32"/>
      <c r="U18" s="321"/>
      <c r="V18" s="35">
        <f t="shared" si="16"/>
        <v>0</v>
      </c>
      <c r="W18" s="306"/>
      <c r="X18" s="32"/>
      <c r="Y18" s="32"/>
      <c r="Z18" s="35">
        <f t="shared" si="17"/>
        <v>0</v>
      </c>
      <c r="AA18" s="367">
        <f t="shared" si="12"/>
        <v>0</v>
      </c>
      <c r="AB18" s="368">
        <f t="shared" si="1"/>
        <v>0</v>
      </c>
      <c r="AC18" s="369">
        <f t="shared" si="13"/>
        <v>0</v>
      </c>
      <c r="AD18" s="327">
        <f t="shared" si="2"/>
        <v>0</v>
      </c>
      <c r="AE18" s="328">
        <f t="shared" si="14"/>
        <v>0</v>
      </c>
      <c r="AF18" s="350">
        <f t="shared" si="3"/>
        <v>0</v>
      </c>
      <c r="AG18" s="29">
        <f t="shared" si="4"/>
        <v>0</v>
      </c>
      <c r="AH18" s="47">
        <f>IF($M$3&gt;0,TGsh!C16*$M$4%+TGsh!D16*(1-$M$4%),0)</f>
        <v>0</v>
      </c>
      <c r="AI18" s="892"/>
      <c r="AJ18" s="7" t="str">
        <f>$AJ$11</f>
        <v>Ef. Alim</v>
      </c>
      <c r="AK18" s="12">
        <f>IF(AK17&gt;0,AK15/AK17/10,0)</f>
        <v>0</v>
      </c>
      <c r="AL18" s="45">
        <f>IF(AL17&gt;0,AL15/AL17/10,0)</f>
        <v>0</v>
      </c>
      <c r="AM18" s="11" t="str">
        <f>IF(AK18&gt;0,(AK18-AL18)/AL18*100,"")</f>
        <v/>
      </c>
      <c r="AN18" s="50"/>
      <c r="AO18" s="16">
        <f t="shared" ref="AO18:AO23" si="26">AO17+1</f>
        <v>3</v>
      </c>
      <c r="AP18" s="8">
        <f>AK21</f>
        <v>0</v>
      </c>
      <c r="AQ18" s="8">
        <f>AL21</f>
        <v>0</v>
      </c>
      <c r="AR18" s="17" t="str">
        <f>AM21</f>
        <v/>
      </c>
      <c r="AS18" s="72">
        <f t="shared" si="5"/>
        <v>0</v>
      </c>
      <c r="AT18" s="72">
        <f t="shared" si="6"/>
        <v>0</v>
      </c>
      <c r="AU18" s="72">
        <f t="shared" si="7"/>
        <v>0</v>
      </c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</row>
    <row r="19" spans="1:58" ht="16.5" thickBot="1" x14ac:dyDescent="0.3">
      <c r="A19" s="930"/>
      <c r="B19" s="54" t="str">
        <f t="shared" si="8"/>
        <v/>
      </c>
      <c r="C19" s="376">
        <f t="shared" si="9"/>
        <v>14</v>
      </c>
      <c r="D19" s="400"/>
      <c r="E19" s="401"/>
      <c r="F19" s="402"/>
      <c r="G19" s="400"/>
      <c r="H19" s="406">
        <f t="shared" si="0"/>
        <v>0</v>
      </c>
      <c r="I19" s="419">
        <f>IF($Q$1&gt;0,TGsh!E17*$M$4%+TGsh!F17*(1-$M$4%),0)</f>
        <v>0</v>
      </c>
      <c r="J19" s="56">
        <f t="shared" si="10"/>
        <v>0</v>
      </c>
      <c r="K19" s="301" t="str">
        <f>$K$12</f>
        <v xml:space="preserve">Mort + Sel Acum </v>
      </c>
      <c r="L19" s="293">
        <f>L16+L12</f>
        <v>0</v>
      </c>
      <c r="M19" s="438">
        <f>IF($M$3&gt;0,L19/$M$3,0)</f>
        <v>0</v>
      </c>
      <c r="N19" s="439">
        <f ca="1">SUM(N17:N18)</f>
        <v>0</v>
      </c>
      <c r="O19" s="27"/>
      <c r="P19" s="33"/>
      <c r="Q19" s="33"/>
      <c r="R19" s="316">
        <f t="shared" si="11"/>
        <v>0</v>
      </c>
      <c r="S19" s="322"/>
      <c r="T19" s="33"/>
      <c r="U19" s="323"/>
      <c r="V19" s="324">
        <f t="shared" si="16"/>
        <v>0</v>
      </c>
      <c r="W19" s="307"/>
      <c r="X19" s="33"/>
      <c r="Y19" s="33"/>
      <c r="Z19" s="36">
        <f t="shared" si="17"/>
        <v>0</v>
      </c>
      <c r="AA19" s="370">
        <f t="shared" si="12"/>
        <v>0</v>
      </c>
      <c r="AB19" s="371">
        <f t="shared" si="1"/>
        <v>0</v>
      </c>
      <c r="AC19" s="372">
        <f t="shared" si="13"/>
        <v>0</v>
      </c>
      <c r="AD19" s="351">
        <f t="shared" si="2"/>
        <v>0</v>
      </c>
      <c r="AE19" s="502">
        <f t="shared" si="14"/>
        <v>0</v>
      </c>
      <c r="AF19" s="352">
        <f t="shared" si="3"/>
        <v>0</v>
      </c>
      <c r="AG19" s="30">
        <f t="shared" si="4"/>
        <v>0</v>
      </c>
      <c r="AH19" s="48">
        <f>IF($M$3&gt;0,TGsh!C17*$M$4%+TGsh!D17*(1-$M$4%),0)</f>
        <v>0</v>
      </c>
      <c r="AI19" s="342">
        <f>IF('Liq-Zoot'!$F$31&gt;0,AK15/1000*J19/'Liq-Zoot'!$F$31,0)</f>
        <v>0</v>
      </c>
      <c r="AJ19" s="343" t="str">
        <f>$AJ$12</f>
        <v>Fact. IP</v>
      </c>
      <c r="AK19" s="344">
        <f>IF(AK17&gt;0,AK18/AK17,0)</f>
        <v>0</v>
      </c>
      <c r="AL19" s="345">
        <f>IF(AL17&gt;0,AL18/AL17,0)</f>
        <v>0</v>
      </c>
      <c r="AM19" s="346" t="str">
        <f>IF(AK19&gt;0,(AK19-AL19)/AL19*100,"")</f>
        <v/>
      </c>
      <c r="AN19" s="50"/>
      <c r="AO19" s="16">
        <f t="shared" si="26"/>
        <v>4</v>
      </c>
      <c r="AP19" s="8">
        <f>AK28</f>
        <v>0</v>
      </c>
      <c r="AQ19" s="8">
        <f>AL28</f>
        <v>0</v>
      </c>
      <c r="AR19" s="17" t="str">
        <f>AM28</f>
        <v/>
      </c>
      <c r="AS19" s="72">
        <f t="shared" si="5"/>
        <v>0</v>
      </c>
      <c r="AT19" s="72">
        <f t="shared" si="6"/>
        <v>0</v>
      </c>
      <c r="AU19" s="72">
        <f t="shared" si="7"/>
        <v>0</v>
      </c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</row>
    <row r="20" spans="1:58" ht="15.75" customHeight="1" x14ac:dyDescent="0.25">
      <c r="A20" s="928" t="s">
        <v>12</v>
      </c>
      <c r="B20" s="52" t="str">
        <f t="shared" si="8"/>
        <v/>
      </c>
      <c r="C20" s="374">
        <f t="shared" si="9"/>
        <v>15</v>
      </c>
      <c r="D20" s="392"/>
      <c r="E20" s="393"/>
      <c r="F20" s="394"/>
      <c r="G20" s="392"/>
      <c r="H20" s="403">
        <f t="shared" si="0"/>
        <v>0</v>
      </c>
      <c r="I20" s="418">
        <f>IF($Q$1&gt;0,TGsh!E18*$M$4%+TGsh!F18*(1-$M$4%),0)</f>
        <v>0</v>
      </c>
      <c r="J20" s="55">
        <f t="shared" si="10"/>
        <v>0</v>
      </c>
      <c r="K20" s="294" t="str">
        <f>$K$6</f>
        <v>Item</v>
      </c>
      <c r="L20" s="295" t="str">
        <f>$L$6</f>
        <v>#</v>
      </c>
      <c r="M20" s="295" t="str">
        <f>$M$6</f>
        <v>Real %</v>
      </c>
      <c r="N20" s="296" t="str">
        <f t="shared" ref="N20" si="27">$N$6</f>
        <v>Guia %</v>
      </c>
      <c r="O20" s="25"/>
      <c r="P20" s="31"/>
      <c r="Q20" s="31"/>
      <c r="R20" s="314">
        <f t="shared" si="11"/>
        <v>0</v>
      </c>
      <c r="S20" s="318"/>
      <c r="T20" s="31"/>
      <c r="U20" s="319"/>
      <c r="V20" s="34">
        <f t="shared" si="16"/>
        <v>0</v>
      </c>
      <c r="W20" s="305"/>
      <c r="X20" s="31"/>
      <c r="Y20" s="31"/>
      <c r="Z20" s="34">
        <f t="shared" si="17"/>
        <v>0</v>
      </c>
      <c r="AA20" s="364">
        <f t="shared" si="12"/>
        <v>0</v>
      </c>
      <c r="AB20" s="365">
        <f t="shared" si="1"/>
        <v>0</v>
      </c>
      <c r="AC20" s="366">
        <f t="shared" si="13"/>
        <v>0</v>
      </c>
      <c r="AD20" s="325">
        <f t="shared" si="2"/>
        <v>0</v>
      </c>
      <c r="AE20" s="326">
        <f t="shared" si="14"/>
        <v>0</v>
      </c>
      <c r="AF20" s="349">
        <f t="shared" si="3"/>
        <v>0</v>
      </c>
      <c r="AG20" s="28">
        <f t="shared" si="4"/>
        <v>0</v>
      </c>
      <c r="AH20" s="46">
        <f>IF($M$3&gt;0,TGsh!C18*$M$4%+TGsh!D18*(1-$M$4%),0)</f>
        <v>0</v>
      </c>
      <c r="AI20" s="347" t="str">
        <f>$AI$6</f>
        <v>Gr. Obten.</v>
      </c>
      <c r="AJ20" s="335" t="str">
        <f>$AJ$6</f>
        <v>Cons Sem</v>
      </c>
      <c r="AK20" s="3">
        <f>IF((J26+SUM(F20:F26))&gt;0,SUM(AD20:AD26)*40000/(J26+SUM(F20:F26)),0)</f>
        <v>0</v>
      </c>
      <c r="AL20" s="41">
        <f>SUMIF($AD20:$AD26,"&gt;0",AH20:AH26)</f>
        <v>0</v>
      </c>
      <c r="AM20" s="336" t="str">
        <f>IF(AK20&gt;0,(AK20-AL20)/AL20*100,"")</f>
        <v/>
      </c>
      <c r="AN20" s="50"/>
      <c r="AO20" s="16">
        <f t="shared" si="26"/>
        <v>5</v>
      </c>
      <c r="AP20" s="8">
        <f>AK35</f>
        <v>0</v>
      </c>
      <c r="AQ20" s="8">
        <f>AL35</f>
        <v>0</v>
      </c>
      <c r="AR20" s="17" t="str">
        <f>AM35</f>
        <v/>
      </c>
      <c r="AS20" s="72">
        <f t="shared" si="5"/>
        <v>0</v>
      </c>
      <c r="AT20" s="72">
        <f t="shared" si="6"/>
        <v>0</v>
      </c>
      <c r="AU20" s="72">
        <f t="shared" si="7"/>
        <v>0</v>
      </c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</row>
    <row r="21" spans="1:58" ht="16.5" thickBot="1" x14ac:dyDescent="0.3">
      <c r="A21" s="929"/>
      <c r="B21" s="53" t="str">
        <f t="shared" si="8"/>
        <v/>
      </c>
      <c r="C21" s="375">
        <f t="shared" si="9"/>
        <v>16</v>
      </c>
      <c r="D21" s="395"/>
      <c r="E21" s="396"/>
      <c r="F21" s="397"/>
      <c r="G21" s="395"/>
      <c r="H21" s="404">
        <f t="shared" si="0"/>
        <v>0</v>
      </c>
      <c r="I21" s="421">
        <f>IF($Q$1&gt;0,TGsh!E19*$M$4%+TGsh!F19*(1-$M$4%),0)</f>
        <v>0</v>
      </c>
      <c r="J21" s="411">
        <f t="shared" si="10"/>
        <v>0</v>
      </c>
      <c r="K21" s="297" t="str">
        <f>$K$7</f>
        <v xml:space="preserve">Mort Sem </v>
      </c>
      <c r="L21" s="289">
        <f>SUM(D20:D26)</f>
        <v>0</v>
      </c>
      <c r="M21" s="429">
        <f>IF(J19&gt;0,L21/J19,0)</f>
        <v>0</v>
      </c>
      <c r="N21" s="430">
        <f ca="1">SUM(TGsh!G18:G24)</f>
        <v>0</v>
      </c>
      <c r="O21" s="26"/>
      <c r="P21" s="32"/>
      <c r="Q21" s="32"/>
      <c r="R21" s="315">
        <f t="shared" si="11"/>
        <v>0</v>
      </c>
      <c r="S21" s="320"/>
      <c r="T21" s="32"/>
      <c r="U21" s="321"/>
      <c r="V21" s="35">
        <f t="shared" si="16"/>
        <v>0</v>
      </c>
      <c r="W21" s="306"/>
      <c r="X21" s="32"/>
      <c r="Y21" s="32"/>
      <c r="Z21" s="35">
        <f t="shared" si="17"/>
        <v>0</v>
      </c>
      <c r="AA21" s="367">
        <f t="shared" si="12"/>
        <v>0</v>
      </c>
      <c r="AB21" s="368">
        <f t="shared" si="1"/>
        <v>0</v>
      </c>
      <c r="AC21" s="369">
        <f t="shared" si="13"/>
        <v>0</v>
      </c>
      <c r="AD21" s="327">
        <f t="shared" si="2"/>
        <v>0</v>
      </c>
      <c r="AE21" s="328">
        <f t="shared" si="14"/>
        <v>0</v>
      </c>
      <c r="AF21" s="350">
        <f t="shared" si="3"/>
        <v>0</v>
      </c>
      <c r="AG21" s="29">
        <f t="shared" si="4"/>
        <v>0</v>
      </c>
      <c r="AH21" s="47">
        <f>IF($M$3&gt;0,TGsh!C19*$M$4%+TGsh!D19*(1-$M$4%),0)</f>
        <v>0</v>
      </c>
      <c r="AI21" s="337">
        <f>IF(SUM(AD20:AD26)&gt;0,AVERAGEIF(AD20:AD26,"&gt;0",AG20:AG26),0)</f>
        <v>0</v>
      </c>
      <c r="AJ21" s="338" t="str">
        <f>$AJ$7</f>
        <v>Cons Acum</v>
      </c>
      <c r="AK21" s="339">
        <f>IF((J26+SUM(F$6:F26))&gt;0,SUM(AD$6:AD26)*40000/(J26+SUM(F$6:F26)),0)</f>
        <v>0</v>
      </c>
      <c r="AL21" s="340">
        <f>AL14+AL20</f>
        <v>0</v>
      </c>
      <c r="AM21" s="341" t="str">
        <f>IF(AK20&gt;0,(AK21-AL21)/AL21*100,"")</f>
        <v/>
      </c>
      <c r="AN21" s="50"/>
      <c r="AO21" s="16">
        <f t="shared" si="26"/>
        <v>6</v>
      </c>
      <c r="AP21" s="8">
        <f>AK42</f>
        <v>0</v>
      </c>
      <c r="AQ21" s="8">
        <f>AL42</f>
        <v>0</v>
      </c>
      <c r="AR21" s="17" t="str">
        <f>AM42</f>
        <v/>
      </c>
      <c r="AS21" s="72">
        <f t="shared" si="5"/>
        <v>0</v>
      </c>
      <c r="AT21" s="72">
        <f t="shared" si="6"/>
        <v>0</v>
      </c>
      <c r="AU21" s="72">
        <f t="shared" si="7"/>
        <v>0</v>
      </c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</row>
    <row r="22" spans="1:58" ht="16.5" thickBot="1" x14ac:dyDescent="0.3">
      <c r="A22" s="929"/>
      <c r="B22" s="53" t="str">
        <f t="shared" si="8"/>
        <v/>
      </c>
      <c r="C22" s="375">
        <f t="shared" si="9"/>
        <v>17</v>
      </c>
      <c r="D22" s="395"/>
      <c r="E22" s="396"/>
      <c r="F22" s="397"/>
      <c r="G22" s="395"/>
      <c r="H22" s="404">
        <f t="shared" si="0"/>
        <v>0</v>
      </c>
      <c r="I22" s="421">
        <f>IF($Q$1&gt;0,TGsh!E20*$M$4%+TGsh!F20*(1-$M$4%),0)</f>
        <v>0</v>
      </c>
      <c r="J22" s="411">
        <f t="shared" si="10"/>
        <v>0</v>
      </c>
      <c r="K22" s="298" t="str">
        <f>$K$8</f>
        <v xml:space="preserve">Sel Sem </v>
      </c>
      <c r="L22" s="290">
        <f>SUM(E20:E26)</f>
        <v>0</v>
      </c>
      <c r="M22" s="431">
        <f>IF(J19&gt;0,L22/J19,0)</f>
        <v>0</v>
      </c>
      <c r="N22" s="432">
        <v>0</v>
      </c>
      <c r="O22" s="26"/>
      <c r="P22" s="32"/>
      <c r="Q22" s="32"/>
      <c r="R22" s="315">
        <f t="shared" si="11"/>
        <v>0</v>
      </c>
      <c r="S22" s="320"/>
      <c r="T22" s="32"/>
      <c r="U22" s="321"/>
      <c r="V22" s="35">
        <f t="shared" si="16"/>
        <v>0</v>
      </c>
      <c r="W22" s="306"/>
      <c r="X22" s="32"/>
      <c r="Y22" s="32"/>
      <c r="Z22" s="35">
        <f t="shared" si="17"/>
        <v>0</v>
      </c>
      <c r="AA22" s="367">
        <f t="shared" si="12"/>
        <v>0</v>
      </c>
      <c r="AB22" s="368">
        <f t="shared" si="1"/>
        <v>0</v>
      </c>
      <c r="AC22" s="369">
        <f t="shared" si="13"/>
        <v>0</v>
      </c>
      <c r="AD22" s="327">
        <f t="shared" si="2"/>
        <v>0</v>
      </c>
      <c r="AE22" s="328">
        <f t="shared" si="14"/>
        <v>0</v>
      </c>
      <c r="AF22" s="350">
        <f t="shared" si="3"/>
        <v>0</v>
      </c>
      <c r="AG22" s="29">
        <f t="shared" si="4"/>
        <v>0</v>
      </c>
      <c r="AH22" s="47">
        <f>IF($M$3&gt;0,TGsh!C20*$M$4%+TGsh!D20*(1-$M$4%),0)</f>
        <v>0</v>
      </c>
      <c r="AI22" s="40" t="str">
        <f>$AI$8</f>
        <v>Gr. Guía</v>
      </c>
      <c r="AJ22" s="4" t="str">
        <f>$AJ$8</f>
        <v>Peso Sem</v>
      </c>
      <c r="AK22" s="24"/>
      <c r="AL22" s="42">
        <f>IF($Q$1&gt;0,I26,0)</f>
        <v>0</v>
      </c>
      <c r="AM22" s="9" t="str">
        <f>IF(AK22&gt;0,(AK22-AL22)/AL22*100,"")</f>
        <v/>
      </c>
      <c r="AN22" s="50"/>
      <c r="AO22" s="16">
        <f t="shared" si="26"/>
        <v>7</v>
      </c>
      <c r="AP22" s="8">
        <f>AK49</f>
        <v>0</v>
      </c>
      <c r="AQ22" s="8">
        <f>AL49</f>
        <v>0</v>
      </c>
      <c r="AR22" s="17" t="str">
        <f>AM49</f>
        <v/>
      </c>
      <c r="AS22" s="72">
        <f t="shared" si="5"/>
        <v>0</v>
      </c>
      <c r="AT22" s="72">
        <f t="shared" si="6"/>
        <v>0</v>
      </c>
      <c r="AU22" s="72">
        <f t="shared" si="7"/>
        <v>0</v>
      </c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</row>
    <row r="23" spans="1:58" ht="16.5" thickBot="1" x14ac:dyDescent="0.3">
      <c r="A23" s="929"/>
      <c r="B23" s="53" t="str">
        <f t="shared" si="8"/>
        <v/>
      </c>
      <c r="C23" s="375">
        <f t="shared" si="9"/>
        <v>18</v>
      </c>
      <c r="D23" s="395"/>
      <c r="E23" s="396"/>
      <c r="F23" s="397"/>
      <c r="G23" s="395"/>
      <c r="H23" s="404">
        <f t="shared" si="0"/>
        <v>0</v>
      </c>
      <c r="I23" s="421">
        <f>IF($Q$1&gt;0,TGsh!E21*$M$4%+TGsh!F21*(1-$M$4%),0)</f>
        <v>0</v>
      </c>
      <c r="J23" s="411">
        <f t="shared" si="10"/>
        <v>0</v>
      </c>
      <c r="K23" s="299" t="str">
        <f>$K$9</f>
        <v xml:space="preserve">Mort + Sel Sem </v>
      </c>
      <c r="L23" s="291">
        <f>SUM(L21:L22)</f>
        <v>0</v>
      </c>
      <c r="M23" s="433">
        <f>IF(J19&gt;0,L23/J19,0)</f>
        <v>0</v>
      </c>
      <c r="N23" s="434">
        <f t="shared" ref="N23" ca="1" si="28">SUM(N21:N22)</f>
        <v>0</v>
      </c>
      <c r="O23" s="26"/>
      <c r="P23" s="32"/>
      <c r="Q23" s="32"/>
      <c r="R23" s="315">
        <f t="shared" si="11"/>
        <v>0</v>
      </c>
      <c r="S23" s="320"/>
      <c r="T23" s="32"/>
      <c r="U23" s="321"/>
      <c r="V23" s="35">
        <f t="shared" si="16"/>
        <v>0</v>
      </c>
      <c r="W23" s="306"/>
      <c r="X23" s="32"/>
      <c r="Y23" s="32"/>
      <c r="Z23" s="35">
        <f t="shared" si="17"/>
        <v>0</v>
      </c>
      <c r="AA23" s="367">
        <f t="shared" si="12"/>
        <v>0</v>
      </c>
      <c r="AB23" s="368">
        <f t="shared" si="1"/>
        <v>0</v>
      </c>
      <c r="AC23" s="369">
        <f t="shared" si="13"/>
        <v>0</v>
      </c>
      <c r="AD23" s="327">
        <f t="shared" si="2"/>
        <v>0</v>
      </c>
      <c r="AE23" s="328">
        <f t="shared" si="14"/>
        <v>0</v>
      </c>
      <c r="AF23" s="350">
        <f t="shared" si="3"/>
        <v>0</v>
      </c>
      <c r="AG23" s="29">
        <f t="shared" si="4"/>
        <v>0</v>
      </c>
      <c r="AH23" s="47">
        <f>IF($M$3&gt;0,TGsh!C21*$M$4%+TGsh!D21*(1-$M$4%),0)</f>
        <v>0</v>
      </c>
      <c r="AI23" s="337">
        <f>IF(SUM(AD20:AD26)&gt;0,AVERAGEIF(AD20:AD26,"&gt;0",AH20:AH26),0)</f>
        <v>0</v>
      </c>
      <c r="AJ23" s="5" t="str">
        <f t="shared" ref="AJ23" si="29">AJ16</f>
        <v>Gan Dia</v>
      </c>
      <c r="AK23" s="6">
        <f>IF(AND(AK15&gt;0,AK22&gt;0),(AK22-AK15)/(COUNTIF(AD20:AD26,"&gt;0")),0)</f>
        <v>0</v>
      </c>
      <c r="AL23" s="43">
        <f>IF(AND(AL15&gt;0,AL22&gt;0,COUNTIF(AD20:AD26,"&gt;0")),(AL22-AL15)/COUNTIF(AD20:AD26,"&gt;0"),0)</f>
        <v>0</v>
      </c>
      <c r="AM23" s="10" t="str">
        <f>IF(AK23&gt;0,(AK23-AL23)/AL23*100,"")</f>
        <v/>
      </c>
      <c r="AN23" s="354"/>
      <c r="AO23" s="18">
        <f t="shared" si="26"/>
        <v>8</v>
      </c>
      <c r="AP23" s="22">
        <f>AK56</f>
        <v>0</v>
      </c>
      <c r="AQ23" s="22">
        <f t="shared" ref="AQ23:AR23" si="30">AL56</f>
        <v>0</v>
      </c>
      <c r="AR23" s="23" t="str">
        <f t="shared" si="30"/>
        <v/>
      </c>
      <c r="AS23" s="72">
        <f t="shared" si="5"/>
        <v>0</v>
      </c>
      <c r="AT23" s="72">
        <f t="shared" si="6"/>
        <v>0</v>
      </c>
      <c r="AU23" s="72">
        <f t="shared" si="7"/>
        <v>0</v>
      </c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</row>
    <row r="24" spans="1:58" ht="16.5" customHeight="1" thickBot="1" x14ac:dyDescent="0.3">
      <c r="A24" s="929"/>
      <c r="B24" s="53" t="str">
        <f t="shared" si="8"/>
        <v/>
      </c>
      <c r="C24" s="375">
        <f t="shared" si="9"/>
        <v>19</v>
      </c>
      <c r="D24" s="395"/>
      <c r="E24" s="396"/>
      <c r="F24" s="397"/>
      <c r="G24" s="395"/>
      <c r="H24" s="404">
        <f t="shared" si="0"/>
        <v>0</v>
      </c>
      <c r="I24" s="421">
        <f>IF($Q$1&gt;0,TGsh!E22*$M$4%+TGsh!F22*(1-$M$4%),0)</f>
        <v>0</v>
      </c>
      <c r="J24" s="411">
        <f t="shared" si="10"/>
        <v>0</v>
      </c>
      <c r="K24" s="300" t="str">
        <f>$K$10</f>
        <v xml:space="preserve">Mort Acum </v>
      </c>
      <c r="L24" s="292">
        <f>L21+L17</f>
        <v>0</v>
      </c>
      <c r="M24" s="435">
        <f>IF($M$3&gt;0,L24/$M$3,0)</f>
        <v>0</v>
      </c>
      <c r="N24" s="436">
        <f ca="1">TGsh!H24</f>
        <v>0</v>
      </c>
      <c r="O24" s="26"/>
      <c r="P24" s="32"/>
      <c r="Q24" s="32"/>
      <c r="R24" s="315">
        <f t="shared" si="11"/>
        <v>0</v>
      </c>
      <c r="S24" s="320"/>
      <c r="T24" s="32"/>
      <c r="U24" s="321"/>
      <c r="V24" s="35">
        <f t="shared" si="16"/>
        <v>0</v>
      </c>
      <c r="W24" s="306"/>
      <c r="X24" s="32"/>
      <c r="Y24" s="32"/>
      <c r="Z24" s="35">
        <f t="shared" si="17"/>
        <v>0</v>
      </c>
      <c r="AA24" s="367">
        <f t="shared" si="12"/>
        <v>0</v>
      </c>
      <c r="AB24" s="368">
        <f t="shared" si="1"/>
        <v>0</v>
      </c>
      <c r="AC24" s="369">
        <f t="shared" si="13"/>
        <v>0</v>
      </c>
      <c r="AD24" s="327">
        <f t="shared" si="2"/>
        <v>0</v>
      </c>
      <c r="AE24" s="328">
        <f t="shared" si="14"/>
        <v>0</v>
      </c>
      <c r="AF24" s="350">
        <f t="shared" si="3"/>
        <v>0</v>
      </c>
      <c r="AG24" s="29">
        <f t="shared" si="4"/>
        <v>0</v>
      </c>
      <c r="AH24" s="47">
        <f>IF($M$3&gt;0,TGsh!C22*$M$4%+TGsh!D22*(1-$M$4%),0)</f>
        <v>0</v>
      </c>
      <c r="AI24" s="891" t="s">
        <v>46</v>
      </c>
      <c r="AJ24" s="7" t="str">
        <f>$AJ$10</f>
        <v>Conversión</v>
      </c>
      <c r="AK24" s="13">
        <f>IF(AK22&gt;0,AK21/AK22,0)</f>
        <v>0</v>
      </c>
      <c r="AL24" s="44">
        <f>IF(AL22&gt;0,AL21/AL22,0)</f>
        <v>0</v>
      </c>
      <c r="AM24" s="11" t="str">
        <f>IF(AK22&gt;0,-(AK24-AL24)/AL24*100,"")</f>
        <v/>
      </c>
      <c r="AN24" s="50"/>
      <c r="AO24" s="19" t="s">
        <v>9</v>
      </c>
      <c r="AP24" s="20" t="s">
        <v>29</v>
      </c>
      <c r="AQ24" s="20" t="s">
        <v>30</v>
      </c>
      <c r="AR24" s="21" t="s">
        <v>14</v>
      </c>
      <c r="AS24" s="72">
        <f t="shared" si="5"/>
        <v>0</v>
      </c>
      <c r="AT24" s="72">
        <f t="shared" si="6"/>
        <v>0</v>
      </c>
      <c r="AU24" s="72">
        <f t="shared" si="7"/>
        <v>0</v>
      </c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</row>
    <row r="25" spans="1:58" ht="15.75" x14ac:dyDescent="0.25">
      <c r="A25" s="929"/>
      <c r="B25" s="53" t="str">
        <f t="shared" si="8"/>
        <v/>
      </c>
      <c r="C25" s="375">
        <f t="shared" si="9"/>
        <v>20</v>
      </c>
      <c r="D25" s="395"/>
      <c r="E25" s="396"/>
      <c r="F25" s="397"/>
      <c r="G25" s="409"/>
      <c r="H25" s="405">
        <f t="shared" si="0"/>
        <v>0</v>
      </c>
      <c r="I25" s="420">
        <f>IF($Q$1&gt;0,TGsh!E23*$M$4%+TGsh!F23*(1-$M$4%),0)</f>
        <v>0</v>
      </c>
      <c r="J25" s="412">
        <f t="shared" si="10"/>
        <v>0</v>
      </c>
      <c r="K25" s="298" t="str">
        <f>$K$11</f>
        <v xml:space="preserve">Sel Acum </v>
      </c>
      <c r="L25" s="290">
        <f>L22+L18</f>
        <v>0</v>
      </c>
      <c r="M25" s="431">
        <f>IF($M$3&gt;0,L25/$M$3,0)</f>
        <v>0</v>
      </c>
      <c r="N25" s="437">
        <f t="shared" ref="N25" si="31">N22+N18</f>
        <v>0</v>
      </c>
      <c r="O25" s="26"/>
      <c r="P25" s="32"/>
      <c r="Q25" s="32"/>
      <c r="R25" s="315">
        <f t="shared" si="11"/>
        <v>0</v>
      </c>
      <c r="S25" s="320"/>
      <c r="T25" s="32"/>
      <c r="U25" s="321"/>
      <c r="V25" s="35">
        <f t="shared" si="16"/>
        <v>0</v>
      </c>
      <c r="W25" s="306"/>
      <c r="X25" s="32"/>
      <c r="Y25" s="32"/>
      <c r="Z25" s="35">
        <f t="shared" si="17"/>
        <v>0</v>
      </c>
      <c r="AA25" s="367">
        <f t="shared" si="12"/>
        <v>0</v>
      </c>
      <c r="AB25" s="368">
        <f t="shared" si="1"/>
        <v>0</v>
      </c>
      <c r="AC25" s="369">
        <f t="shared" si="13"/>
        <v>0</v>
      </c>
      <c r="AD25" s="327">
        <f t="shared" si="2"/>
        <v>0</v>
      </c>
      <c r="AE25" s="328">
        <f t="shared" si="14"/>
        <v>0</v>
      </c>
      <c r="AF25" s="350">
        <f t="shared" si="3"/>
        <v>0</v>
      </c>
      <c r="AG25" s="29">
        <f t="shared" si="4"/>
        <v>0</v>
      </c>
      <c r="AH25" s="47">
        <f>IF($M$3&gt;0,TGsh!C23*$M$4%+TGsh!D23*(1-$M$4%),0)</f>
        <v>0</v>
      </c>
      <c r="AI25" s="892"/>
      <c r="AJ25" s="7" t="str">
        <f>$AJ$11</f>
        <v>Ef. Alim</v>
      </c>
      <c r="AK25" s="12">
        <f>IF(AK24&gt;0,AK22/AK24/10,0)</f>
        <v>0</v>
      </c>
      <c r="AL25" s="45">
        <f>IF(AL24&gt;0,AL22/AL24/10,0)</f>
        <v>0</v>
      </c>
      <c r="AM25" s="11" t="str">
        <f>IF(AK25&gt;0,(AK25-AL25)/AL25*100,"")</f>
        <v/>
      </c>
      <c r="AN25" s="50"/>
      <c r="AO25" s="14">
        <v>1</v>
      </c>
      <c r="AP25" s="3">
        <f>AK8</f>
        <v>0</v>
      </c>
      <c r="AQ25" s="3">
        <f>AL8</f>
        <v>0</v>
      </c>
      <c r="AR25" s="15" t="str">
        <f>AM8</f>
        <v/>
      </c>
      <c r="AS25" s="72">
        <f t="shared" si="5"/>
        <v>0</v>
      </c>
      <c r="AT25" s="72">
        <f t="shared" si="6"/>
        <v>0</v>
      </c>
      <c r="AU25" s="72">
        <f t="shared" si="7"/>
        <v>0</v>
      </c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</row>
    <row r="26" spans="1:58" ht="16.5" thickBot="1" x14ac:dyDescent="0.3">
      <c r="A26" s="930"/>
      <c r="B26" s="54" t="str">
        <f t="shared" si="8"/>
        <v/>
      </c>
      <c r="C26" s="376">
        <f t="shared" si="9"/>
        <v>21</v>
      </c>
      <c r="D26" s="400"/>
      <c r="E26" s="401"/>
      <c r="F26" s="402"/>
      <c r="G26" s="400"/>
      <c r="H26" s="406">
        <f t="shared" si="0"/>
        <v>0</v>
      </c>
      <c r="I26" s="419">
        <f>IF($Q$1&gt;0,TGsh!E24*$M$4%+TGsh!F24*(1-$M$4%),0)</f>
        <v>0</v>
      </c>
      <c r="J26" s="56">
        <f t="shared" si="10"/>
        <v>0</v>
      </c>
      <c r="K26" s="301" t="str">
        <f>$K$12</f>
        <v xml:space="preserve">Mort + Sel Acum </v>
      </c>
      <c r="L26" s="293">
        <f>L23+L19</f>
        <v>0</v>
      </c>
      <c r="M26" s="438">
        <f>IF($M$3&gt;0,L26/$M$3,0)</f>
        <v>0</v>
      </c>
      <c r="N26" s="439">
        <f t="shared" ref="N26" ca="1" si="32">SUM(N24:N25)</f>
        <v>0</v>
      </c>
      <c r="O26" s="27"/>
      <c r="P26" s="33"/>
      <c r="Q26" s="33"/>
      <c r="R26" s="316">
        <f t="shared" si="11"/>
        <v>0</v>
      </c>
      <c r="S26" s="322"/>
      <c r="T26" s="33"/>
      <c r="U26" s="323"/>
      <c r="V26" s="324">
        <f t="shared" si="16"/>
        <v>0</v>
      </c>
      <c r="W26" s="307"/>
      <c r="X26" s="33"/>
      <c r="Y26" s="33"/>
      <c r="Z26" s="36">
        <f t="shared" si="17"/>
        <v>0</v>
      </c>
      <c r="AA26" s="370">
        <f t="shared" si="12"/>
        <v>0</v>
      </c>
      <c r="AB26" s="371">
        <f t="shared" si="1"/>
        <v>0</v>
      </c>
      <c r="AC26" s="372">
        <f t="shared" si="13"/>
        <v>0</v>
      </c>
      <c r="AD26" s="351">
        <f t="shared" si="2"/>
        <v>0</v>
      </c>
      <c r="AE26" s="502">
        <f t="shared" si="14"/>
        <v>0</v>
      </c>
      <c r="AF26" s="352">
        <f t="shared" si="3"/>
        <v>0</v>
      </c>
      <c r="AG26" s="30">
        <f t="shared" si="4"/>
        <v>0</v>
      </c>
      <c r="AH26" s="48">
        <f>IF($M$3&gt;0,TGsh!C24*$M$4%+TGsh!D24*(1-$M$4%),0)</f>
        <v>0</v>
      </c>
      <c r="AI26" s="342">
        <f>IF('Liq-Zoot'!$F$31&gt;0,AK22/1000*J26/'Liq-Zoot'!$F$31,0)</f>
        <v>0</v>
      </c>
      <c r="AJ26" s="343" t="str">
        <f>$AJ$12</f>
        <v>Fact. IP</v>
      </c>
      <c r="AK26" s="344">
        <f>IF(AK24&gt;0,AK25/AK24,0)</f>
        <v>0</v>
      </c>
      <c r="AL26" s="345">
        <f>IF(AL24&gt;0,AL25/AL24,0)</f>
        <v>0</v>
      </c>
      <c r="AM26" s="346" t="str">
        <f>IF(AK26&gt;0,(AK26-AL26)/AL26*100,"")</f>
        <v/>
      </c>
      <c r="AN26" s="50"/>
      <c r="AO26" s="16">
        <f>AO25+1</f>
        <v>2</v>
      </c>
      <c r="AP26" s="8">
        <f>AK15</f>
        <v>0</v>
      </c>
      <c r="AQ26" s="8">
        <f>AL15</f>
        <v>0</v>
      </c>
      <c r="AR26" s="17" t="str">
        <f>AM15</f>
        <v/>
      </c>
      <c r="AS26" s="72">
        <f t="shared" si="5"/>
        <v>0</v>
      </c>
      <c r="AT26" s="72">
        <f t="shared" si="6"/>
        <v>0</v>
      </c>
      <c r="AU26" s="72">
        <f t="shared" si="7"/>
        <v>0</v>
      </c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</row>
    <row r="27" spans="1:58" ht="15.75" customHeight="1" x14ac:dyDescent="0.25">
      <c r="A27" s="928" t="s">
        <v>15</v>
      </c>
      <c r="B27" s="52" t="str">
        <f t="shared" si="8"/>
        <v/>
      </c>
      <c r="C27" s="374">
        <f t="shared" si="9"/>
        <v>22</v>
      </c>
      <c r="D27" s="392"/>
      <c r="E27" s="393"/>
      <c r="F27" s="394"/>
      <c r="G27" s="392"/>
      <c r="H27" s="403">
        <f t="shared" si="0"/>
        <v>0</v>
      </c>
      <c r="I27" s="418">
        <f>IF($Q$1&gt;0,TGsh!E25*$M$4%+TGsh!F25*(1-$M$4%),0)</f>
        <v>0</v>
      </c>
      <c r="J27" s="55">
        <f t="shared" si="10"/>
        <v>0</v>
      </c>
      <c r="K27" s="294" t="str">
        <f>$K$6</f>
        <v>Item</v>
      </c>
      <c r="L27" s="295" t="str">
        <f>$L$6</f>
        <v>#</v>
      </c>
      <c r="M27" s="295" t="str">
        <f>$M$6</f>
        <v>Real %</v>
      </c>
      <c r="N27" s="296" t="str">
        <f t="shared" ref="N27" si="33">$N$6</f>
        <v>Guia %</v>
      </c>
      <c r="O27" s="25"/>
      <c r="P27" s="31"/>
      <c r="Q27" s="31"/>
      <c r="R27" s="314">
        <f t="shared" si="11"/>
        <v>0</v>
      </c>
      <c r="S27" s="318"/>
      <c r="T27" s="31"/>
      <c r="U27" s="319"/>
      <c r="V27" s="34">
        <f t="shared" si="16"/>
        <v>0</v>
      </c>
      <c r="W27" s="305"/>
      <c r="X27" s="31"/>
      <c r="Y27" s="31"/>
      <c r="Z27" s="34">
        <f t="shared" si="17"/>
        <v>0</v>
      </c>
      <c r="AA27" s="364">
        <f t="shared" si="12"/>
        <v>0</v>
      </c>
      <c r="AB27" s="365">
        <f t="shared" si="1"/>
        <v>0</v>
      </c>
      <c r="AC27" s="366">
        <f t="shared" si="13"/>
        <v>0</v>
      </c>
      <c r="AD27" s="325">
        <f t="shared" si="2"/>
        <v>0</v>
      </c>
      <c r="AE27" s="326">
        <f t="shared" si="14"/>
        <v>0</v>
      </c>
      <c r="AF27" s="349">
        <f t="shared" si="3"/>
        <v>0</v>
      </c>
      <c r="AG27" s="28">
        <f t="shared" si="4"/>
        <v>0</v>
      </c>
      <c r="AH27" s="46">
        <f>IF($M$3&gt;0,TGsh!C25*$M$4%+TGsh!D25*(1-$M$4%),0)</f>
        <v>0</v>
      </c>
      <c r="AI27" s="347" t="str">
        <f>$AI$6</f>
        <v>Gr. Obten.</v>
      </c>
      <c r="AJ27" s="335" t="str">
        <f>$AJ$6</f>
        <v>Cons Sem</v>
      </c>
      <c r="AK27" s="3">
        <f>IF((J33+SUM(F27:F33))&gt;0,SUM(AD27:AD33)*40000/(J33+SUM(F27:F33)),0)</f>
        <v>0</v>
      </c>
      <c r="AL27" s="41">
        <f>SUMIF($AD27:$AD33,"&gt;0",AH27:AH33)</f>
        <v>0</v>
      </c>
      <c r="AM27" s="336" t="str">
        <f>IF(AK27&gt;0,(AK27-AL27)/AL27*100,"")</f>
        <v/>
      </c>
      <c r="AN27" s="50"/>
      <c r="AO27" s="16">
        <f t="shared" ref="AO27:AO32" si="34">AO26+1</f>
        <v>3</v>
      </c>
      <c r="AP27" s="8">
        <f>AK22</f>
        <v>0</v>
      </c>
      <c r="AQ27" s="8">
        <f>AL22</f>
        <v>0</v>
      </c>
      <c r="AR27" s="17" t="str">
        <f>AM22</f>
        <v/>
      </c>
      <c r="AS27" s="72">
        <f t="shared" si="5"/>
        <v>0</v>
      </c>
      <c r="AT27" s="72">
        <f t="shared" si="6"/>
        <v>0</v>
      </c>
      <c r="AU27" s="72">
        <f t="shared" si="7"/>
        <v>0</v>
      </c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</row>
    <row r="28" spans="1:58" ht="16.5" thickBot="1" x14ac:dyDescent="0.3">
      <c r="A28" s="929"/>
      <c r="B28" s="53" t="str">
        <f t="shared" si="8"/>
        <v/>
      </c>
      <c r="C28" s="375">
        <f t="shared" si="9"/>
        <v>23</v>
      </c>
      <c r="D28" s="395"/>
      <c r="E28" s="396"/>
      <c r="F28" s="397"/>
      <c r="G28" s="395"/>
      <c r="H28" s="404">
        <f t="shared" si="0"/>
        <v>0</v>
      </c>
      <c r="I28" s="421">
        <f>IF($Q$1&gt;0,TGsh!E26*$M$4%+TGsh!F26*(1-$M$4%),0)</f>
        <v>0</v>
      </c>
      <c r="J28" s="411">
        <f t="shared" si="10"/>
        <v>0</v>
      </c>
      <c r="K28" s="297" t="str">
        <f>$K$7</f>
        <v xml:space="preserve">Mort Sem </v>
      </c>
      <c r="L28" s="289">
        <f>SUM(D27:D33)</f>
        <v>0</v>
      </c>
      <c r="M28" s="429">
        <f>IF(J26&gt;0,L28/J26,0)</f>
        <v>0</v>
      </c>
      <c r="N28" s="430">
        <f ca="1">SUM(TGsh!G25:G31)</f>
        <v>0</v>
      </c>
      <c r="O28" s="26"/>
      <c r="P28" s="32"/>
      <c r="Q28" s="32"/>
      <c r="R28" s="315">
        <f t="shared" si="11"/>
        <v>0</v>
      </c>
      <c r="S28" s="320"/>
      <c r="T28" s="32"/>
      <c r="U28" s="321"/>
      <c r="V28" s="35">
        <f t="shared" si="16"/>
        <v>0</v>
      </c>
      <c r="W28" s="306"/>
      <c r="X28" s="306"/>
      <c r="Y28" s="306"/>
      <c r="Z28" s="35">
        <f t="shared" si="17"/>
        <v>0</v>
      </c>
      <c r="AA28" s="367">
        <f t="shared" si="12"/>
        <v>0</v>
      </c>
      <c r="AB28" s="368">
        <f t="shared" si="1"/>
        <v>0</v>
      </c>
      <c r="AC28" s="369">
        <f t="shared" si="13"/>
        <v>0</v>
      </c>
      <c r="AD28" s="327">
        <f t="shared" si="2"/>
        <v>0</v>
      </c>
      <c r="AE28" s="328">
        <f t="shared" si="14"/>
        <v>0</v>
      </c>
      <c r="AF28" s="350">
        <f t="shared" si="3"/>
        <v>0</v>
      </c>
      <c r="AG28" s="29">
        <f t="shared" si="4"/>
        <v>0</v>
      </c>
      <c r="AH28" s="47">
        <f>IF($M$3&gt;0,TGsh!C26*$M$4%+TGsh!D26*(1-$M$4%),0)</f>
        <v>0</v>
      </c>
      <c r="AI28" s="337">
        <f>IF(SUM(AD27:AD33)&gt;0,AVERAGEIF(AD27:AD33,"&gt;0",AG27:AG33),0)</f>
        <v>0</v>
      </c>
      <c r="AJ28" s="338" t="str">
        <f>$AJ$7</f>
        <v>Cons Acum</v>
      </c>
      <c r="AK28" s="339">
        <f>IF((J33+SUM(F$6:F33))&gt;0,SUM(AD$6:AD33)*40000/(J33+SUM(F$6:F33)),0)</f>
        <v>0</v>
      </c>
      <c r="AL28" s="340">
        <f>AL21+AL27</f>
        <v>0</v>
      </c>
      <c r="AM28" s="341" t="str">
        <f>IF(AK27&gt;0,(AK28-AL28)/AL28*100,"")</f>
        <v/>
      </c>
      <c r="AN28" s="50"/>
      <c r="AO28" s="16">
        <f t="shared" si="34"/>
        <v>4</v>
      </c>
      <c r="AP28" s="8">
        <f>AK29</f>
        <v>0</v>
      </c>
      <c r="AQ28" s="8">
        <f>AL29</f>
        <v>0</v>
      </c>
      <c r="AR28" s="17" t="str">
        <f>AM29</f>
        <v/>
      </c>
      <c r="AS28" s="72">
        <f t="shared" si="5"/>
        <v>0</v>
      </c>
      <c r="AT28" s="72">
        <f t="shared" si="6"/>
        <v>0</v>
      </c>
      <c r="AU28" s="72">
        <f t="shared" si="7"/>
        <v>0</v>
      </c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</row>
    <row r="29" spans="1:58" ht="16.5" thickBot="1" x14ac:dyDescent="0.3">
      <c r="A29" s="929"/>
      <c r="B29" s="53" t="str">
        <f t="shared" si="8"/>
        <v/>
      </c>
      <c r="C29" s="375">
        <f t="shared" si="9"/>
        <v>24</v>
      </c>
      <c r="D29" s="395"/>
      <c r="E29" s="396"/>
      <c r="F29" s="397"/>
      <c r="G29" s="395"/>
      <c r="H29" s="404">
        <f t="shared" si="0"/>
        <v>0</v>
      </c>
      <c r="I29" s="421">
        <f>IF($Q$1&gt;0,TGsh!E27*$M$4%+TGsh!F27*(1-$M$4%),0)</f>
        <v>0</v>
      </c>
      <c r="J29" s="411">
        <f t="shared" si="10"/>
        <v>0</v>
      </c>
      <c r="K29" s="298" t="str">
        <f>$K$8</f>
        <v xml:space="preserve">Sel Sem </v>
      </c>
      <c r="L29" s="290">
        <f>SUM(E27:E33)</f>
        <v>0</v>
      </c>
      <c r="M29" s="431">
        <f>IF(J26&gt;0,L29/J26,0)</f>
        <v>0</v>
      </c>
      <c r="N29" s="432">
        <v>0</v>
      </c>
      <c r="O29" s="26"/>
      <c r="P29" s="32"/>
      <c r="Q29" s="32"/>
      <c r="R29" s="315">
        <f t="shared" si="11"/>
        <v>0</v>
      </c>
      <c r="S29" s="320"/>
      <c r="T29" s="32"/>
      <c r="U29" s="321"/>
      <c r="V29" s="35">
        <f t="shared" si="16"/>
        <v>0</v>
      </c>
      <c r="W29" s="306"/>
      <c r="X29" s="306"/>
      <c r="Y29" s="306"/>
      <c r="Z29" s="35">
        <f t="shared" si="17"/>
        <v>0</v>
      </c>
      <c r="AA29" s="367">
        <f t="shared" si="12"/>
        <v>0</v>
      </c>
      <c r="AB29" s="368">
        <f t="shared" si="1"/>
        <v>0</v>
      </c>
      <c r="AC29" s="369">
        <f t="shared" si="13"/>
        <v>0</v>
      </c>
      <c r="AD29" s="327">
        <f t="shared" si="2"/>
        <v>0</v>
      </c>
      <c r="AE29" s="328">
        <f t="shared" si="14"/>
        <v>0</v>
      </c>
      <c r="AF29" s="350">
        <f t="shared" si="3"/>
        <v>0</v>
      </c>
      <c r="AG29" s="29">
        <f t="shared" si="4"/>
        <v>0</v>
      </c>
      <c r="AH29" s="47">
        <f>IF($M$3&gt;0,TGsh!C27*$M$4%+TGsh!D27*(1-$M$4%),0)</f>
        <v>0</v>
      </c>
      <c r="AI29" s="40" t="str">
        <f>$AI$8</f>
        <v>Gr. Guía</v>
      </c>
      <c r="AJ29" s="4" t="str">
        <f>$AJ$8</f>
        <v>Peso Sem</v>
      </c>
      <c r="AK29" s="332">
        <f>IF(SUM($F27:$F33)&gt;0,SUMPRODUCT($F27:$F33,H27:H33)/SUM($F27:$F33),0)</f>
        <v>0</v>
      </c>
      <c r="AL29" s="42">
        <f>IF($Q$1&gt;0,I33,0)</f>
        <v>0</v>
      </c>
      <c r="AM29" s="9" t="str">
        <f>IF(AK29&gt;0,(AK29-AL29)/AL29*100,"")</f>
        <v/>
      </c>
      <c r="AN29" s="50"/>
      <c r="AO29" s="16">
        <f t="shared" si="34"/>
        <v>5</v>
      </c>
      <c r="AP29" s="8">
        <f>AK36</f>
        <v>0</v>
      </c>
      <c r="AQ29" s="8">
        <f>AL36</f>
        <v>0</v>
      </c>
      <c r="AR29" s="17" t="str">
        <f>AM36</f>
        <v/>
      </c>
      <c r="AS29" s="72">
        <f t="shared" si="5"/>
        <v>0</v>
      </c>
      <c r="AT29" s="72">
        <f t="shared" si="6"/>
        <v>0</v>
      </c>
      <c r="AU29" s="72">
        <f t="shared" si="7"/>
        <v>0</v>
      </c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</row>
    <row r="30" spans="1:58" ht="15.75" x14ac:dyDescent="0.25">
      <c r="A30" s="929"/>
      <c r="B30" s="53" t="str">
        <f t="shared" si="8"/>
        <v/>
      </c>
      <c r="C30" s="375">
        <f t="shared" si="9"/>
        <v>25</v>
      </c>
      <c r="D30" s="395"/>
      <c r="E30" s="396"/>
      <c r="F30" s="397"/>
      <c r="G30" s="395"/>
      <c r="H30" s="404">
        <f t="shared" si="0"/>
        <v>0</v>
      </c>
      <c r="I30" s="421">
        <f>IF($Q$1&gt;0,TGsh!E28*$M$4%+TGsh!F28*(1-$M$4%),0)</f>
        <v>0</v>
      </c>
      <c r="J30" s="411">
        <f t="shared" si="10"/>
        <v>0</v>
      </c>
      <c r="K30" s="299" t="str">
        <f>$K$9</f>
        <v xml:space="preserve">Mort + Sel Sem </v>
      </c>
      <c r="L30" s="291">
        <f>SUM(L28:L29)</f>
        <v>0</v>
      </c>
      <c r="M30" s="433">
        <f>IF(J26&gt;0,L30/J26,0)</f>
        <v>0</v>
      </c>
      <c r="N30" s="434">
        <f t="shared" ref="N30" ca="1" si="35">SUM(N28:N29)</f>
        <v>0</v>
      </c>
      <c r="O30" s="26"/>
      <c r="P30" s="32"/>
      <c r="Q30" s="32"/>
      <c r="R30" s="315">
        <f t="shared" si="11"/>
        <v>0</v>
      </c>
      <c r="S30" s="320"/>
      <c r="T30" s="32"/>
      <c r="U30" s="321"/>
      <c r="V30" s="35">
        <f t="shared" si="16"/>
        <v>0</v>
      </c>
      <c r="W30" s="306"/>
      <c r="X30" s="306"/>
      <c r="Y30" s="306"/>
      <c r="Z30" s="35">
        <f t="shared" si="17"/>
        <v>0</v>
      </c>
      <c r="AA30" s="367">
        <f t="shared" si="12"/>
        <v>0</v>
      </c>
      <c r="AB30" s="368">
        <f t="shared" si="1"/>
        <v>0</v>
      </c>
      <c r="AC30" s="369">
        <f t="shared" si="13"/>
        <v>0</v>
      </c>
      <c r="AD30" s="327">
        <f t="shared" si="2"/>
        <v>0</v>
      </c>
      <c r="AE30" s="328">
        <f t="shared" si="14"/>
        <v>0</v>
      </c>
      <c r="AF30" s="350">
        <f t="shared" si="3"/>
        <v>0</v>
      </c>
      <c r="AG30" s="29">
        <f t="shared" si="4"/>
        <v>0</v>
      </c>
      <c r="AH30" s="47">
        <f>IF($M$3&gt;0,TGsh!C28*$M$4%+TGsh!D28*(1-$M$4%),0)</f>
        <v>0</v>
      </c>
      <c r="AI30" s="337">
        <f>IF(SUM(AD27:AD33)&gt;0,AVERAGEIF(AD27:AD33,"&gt;0",AH27:AH33),0)</f>
        <v>0</v>
      </c>
      <c r="AJ30" s="5" t="str">
        <f t="shared" ref="AJ30" si="36">AJ23</f>
        <v>Gan Dia</v>
      </c>
      <c r="AK30" s="6">
        <f>IF(AND(AK22&gt;0,AK29&gt;0),(AK29-AK22)/(COUNTIF(AD27:AD33,"&gt;0")),0)</f>
        <v>0</v>
      </c>
      <c r="AL30" s="43">
        <f>IF(AND(AL22&gt;0,AL29&gt;0,COUNTIF(AD27:AD33,"&gt;0")),(AL29-AL22)/COUNTIF(AD27:AD33,"&gt;0"),0)</f>
        <v>0</v>
      </c>
      <c r="AM30" s="10" t="str">
        <f>IF(AK30&gt;0,(AK30-AL30)/AL30*100,"")</f>
        <v/>
      </c>
      <c r="AN30" s="354"/>
      <c r="AO30" s="16">
        <f t="shared" si="34"/>
        <v>6</v>
      </c>
      <c r="AP30" s="8">
        <f>AK43</f>
        <v>0</v>
      </c>
      <c r="AQ30" s="8">
        <f>AL43</f>
        <v>0</v>
      </c>
      <c r="AR30" s="17" t="str">
        <f>AM43</f>
        <v/>
      </c>
      <c r="AS30" s="72">
        <f t="shared" si="5"/>
        <v>0</v>
      </c>
      <c r="AT30" s="72">
        <f t="shared" si="6"/>
        <v>0</v>
      </c>
      <c r="AU30" s="72">
        <f t="shared" si="7"/>
        <v>0</v>
      </c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</row>
    <row r="31" spans="1:58" ht="15.75" customHeight="1" x14ac:dyDescent="0.25">
      <c r="A31" s="929"/>
      <c r="B31" s="53" t="str">
        <f t="shared" si="8"/>
        <v/>
      </c>
      <c r="C31" s="375">
        <f t="shared" si="9"/>
        <v>26</v>
      </c>
      <c r="D31" s="395"/>
      <c r="E31" s="396"/>
      <c r="F31" s="397"/>
      <c r="G31" s="395"/>
      <c r="H31" s="404">
        <f t="shared" si="0"/>
        <v>0</v>
      </c>
      <c r="I31" s="421">
        <f>IF($Q$1&gt;0,TGsh!E29*$M$4%+TGsh!F29*(1-$M$4%),0)</f>
        <v>0</v>
      </c>
      <c r="J31" s="411">
        <f t="shared" si="10"/>
        <v>0</v>
      </c>
      <c r="K31" s="300" t="str">
        <f>$K$10</f>
        <v xml:space="preserve">Mort Acum </v>
      </c>
      <c r="L31" s="292">
        <f>L28+L24</f>
        <v>0</v>
      </c>
      <c r="M31" s="435">
        <f>IF($M$3&gt;0,L31/$M$3,0)</f>
        <v>0</v>
      </c>
      <c r="N31" s="436">
        <f ca="1">TGsh!H31</f>
        <v>0</v>
      </c>
      <c r="O31" s="26"/>
      <c r="P31" s="32"/>
      <c r="Q31" s="32"/>
      <c r="R31" s="315">
        <f t="shared" si="11"/>
        <v>0</v>
      </c>
      <c r="S31" s="320"/>
      <c r="T31" s="32"/>
      <c r="U31" s="321"/>
      <c r="V31" s="35">
        <f t="shared" si="16"/>
        <v>0</v>
      </c>
      <c r="W31" s="306"/>
      <c r="X31" s="306"/>
      <c r="Y31" s="306"/>
      <c r="Z31" s="35">
        <f t="shared" si="17"/>
        <v>0</v>
      </c>
      <c r="AA31" s="367">
        <f t="shared" si="12"/>
        <v>0</v>
      </c>
      <c r="AB31" s="368">
        <f t="shared" si="1"/>
        <v>0</v>
      </c>
      <c r="AC31" s="369">
        <f t="shared" si="13"/>
        <v>0</v>
      </c>
      <c r="AD31" s="327">
        <f t="shared" si="2"/>
        <v>0</v>
      </c>
      <c r="AE31" s="328">
        <f t="shared" si="14"/>
        <v>0</v>
      </c>
      <c r="AF31" s="350">
        <f t="shared" si="3"/>
        <v>0</v>
      </c>
      <c r="AG31" s="29">
        <f t="shared" si="4"/>
        <v>0</v>
      </c>
      <c r="AH31" s="47">
        <f>IF($M$3&gt;0,TGsh!C29*$M$4%+TGsh!D29*(1-$M$4%),0)</f>
        <v>0</v>
      </c>
      <c r="AI31" s="891" t="s">
        <v>46</v>
      </c>
      <c r="AJ31" s="7" t="str">
        <f>$AJ$10</f>
        <v>Conversión</v>
      </c>
      <c r="AK31" s="13">
        <f>IF(AK29&gt;0,AK28/AK29,0)</f>
        <v>0</v>
      </c>
      <c r="AL31" s="44">
        <f>IF(AL29&gt;0,AL28/AL29,0)</f>
        <v>0</v>
      </c>
      <c r="AM31" s="11" t="str">
        <f>IF(AK29&gt;0,-(AK31-AL31)/AL31*100,"")</f>
        <v/>
      </c>
      <c r="AN31" s="50"/>
      <c r="AO31" s="16">
        <f t="shared" si="34"/>
        <v>7</v>
      </c>
      <c r="AP31" s="8">
        <f>AK50</f>
        <v>0</v>
      </c>
      <c r="AQ31" s="8">
        <f>AL50</f>
        <v>0</v>
      </c>
      <c r="AR31" s="17" t="str">
        <f>AM50</f>
        <v/>
      </c>
      <c r="AS31" s="72">
        <f t="shared" si="5"/>
        <v>0</v>
      </c>
      <c r="AT31" s="72">
        <f t="shared" si="6"/>
        <v>0</v>
      </c>
      <c r="AU31" s="72">
        <f t="shared" si="7"/>
        <v>0</v>
      </c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</row>
    <row r="32" spans="1:58" ht="16.5" thickBot="1" x14ac:dyDescent="0.3">
      <c r="A32" s="929"/>
      <c r="B32" s="53" t="str">
        <f t="shared" si="8"/>
        <v/>
      </c>
      <c r="C32" s="375">
        <f t="shared" si="9"/>
        <v>27</v>
      </c>
      <c r="D32" s="395"/>
      <c r="E32" s="396"/>
      <c r="F32" s="397"/>
      <c r="G32" s="409"/>
      <c r="H32" s="405">
        <f t="shared" si="0"/>
        <v>0</v>
      </c>
      <c r="I32" s="420">
        <f>IF($Q$1&gt;0,TGsh!E30*$M$4%+TGsh!F30*(1-$M$4%),0)</f>
        <v>0</v>
      </c>
      <c r="J32" s="412">
        <f t="shared" si="10"/>
        <v>0</v>
      </c>
      <c r="K32" s="298" t="str">
        <f>$K$11</f>
        <v xml:space="preserve">Sel Acum </v>
      </c>
      <c r="L32" s="290">
        <f>L29+L25</f>
        <v>0</v>
      </c>
      <c r="M32" s="431">
        <f>IF($M$3&gt;0,L32/$M$3,0)</f>
        <v>0</v>
      </c>
      <c r="N32" s="437">
        <f t="shared" ref="N32" si="37">N29+N25</f>
        <v>0</v>
      </c>
      <c r="O32" s="26"/>
      <c r="P32" s="32"/>
      <c r="Q32" s="32"/>
      <c r="R32" s="315">
        <f t="shared" si="11"/>
        <v>0</v>
      </c>
      <c r="S32" s="320"/>
      <c r="T32" s="32"/>
      <c r="U32" s="321"/>
      <c r="V32" s="35">
        <f t="shared" si="16"/>
        <v>0</v>
      </c>
      <c r="W32" s="306"/>
      <c r="X32" s="306"/>
      <c r="Y32" s="306"/>
      <c r="Z32" s="35">
        <f t="shared" si="17"/>
        <v>0</v>
      </c>
      <c r="AA32" s="367">
        <f t="shared" si="12"/>
        <v>0</v>
      </c>
      <c r="AB32" s="368">
        <f t="shared" si="1"/>
        <v>0</v>
      </c>
      <c r="AC32" s="369">
        <f t="shared" si="13"/>
        <v>0</v>
      </c>
      <c r="AD32" s="327">
        <f t="shared" si="2"/>
        <v>0</v>
      </c>
      <c r="AE32" s="328">
        <f t="shared" si="14"/>
        <v>0</v>
      </c>
      <c r="AF32" s="350">
        <f t="shared" si="3"/>
        <v>0</v>
      </c>
      <c r="AG32" s="29">
        <f t="shared" si="4"/>
        <v>0</v>
      </c>
      <c r="AH32" s="47">
        <f>IF($M$3&gt;0,TGsh!C30*$M$4%+TGsh!D30*(1-$M$4%),0)</f>
        <v>0</v>
      </c>
      <c r="AI32" s="892"/>
      <c r="AJ32" s="7" t="str">
        <f>$AJ$11</f>
        <v>Ef. Alim</v>
      </c>
      <c r="AK32" s="12">
        <f>IF(AK31&gt;0,AK29/AK31/10,0)</f>
        <v>0</v>
      </c>
      <c r="AL32" s="45">
        <f>IF(AL31&gt;0,AL29/AL31/10,0)</f>
        <v>0</v>
      </c>
      <c r="AM32" s="11" t="str">
        <f>IF(AK32&gt;0,(AK32-AL32)/AL32*100,"")</f>
        <v/>
      </c>
      <c r="AN32" s="50"/>
      <c r="AO32" s="18">
        <f t="shared" si="34"/>
        <v>8</v>
      </c>
      <c r="AP32" s="22">
        <f>AK57</f>
        <v>0</v>
      </c>
      <c r="AQ32" s="22">
        <f t="shared" ref="AQ32:AR32" si="38">AL57</f>
        <v>0</v>
      </c>
      <c r="AR32" s="23" t="str">
        <f t="shared" si="38"/>
        <v/>
      </c>
      <c r="AS32" s="72">
        <f t="shared" si="5"/>
        <v>0</v>
      </c>
      <c r="AT32" s="72">
        <f t="shared" si="6"/>
        <v>0</v>
      </c>
      <c r="AU32" s="72">
        <f t="shared" si="7"/>
        <v>0</v>
      </c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</row>
    <row r="33" spans="1:58" ht="16.5" thickBot="1" x14ac:dyDescent="0.3">
      <c r="A33" s="930"/>
      <c r="B33" s="54" t="str">
        <f t="shared" si="8"/>
        <v/>
      </c>
      <c r="C33" s="376">
        <f t="shared" si="9"/>
        <v>28</v>
      </c>
      <c r="D33" s="400"/>
      <c r="E33" s="401"/>
      <c r="F33" s="402"/>
      <c r="G33" s="400"/>
      <c r="H33" s="406">
        <f t="shared" si="0"/>
        <v>0</v>
      </c>
      <c r="I33" s="419">
        <f>IF($Q$1&gt;0,TGsh!E31*$M$4%+TGsh!F31*(1-$M$4%),0)</f>
        <v>0</v>
      </c>
      <c r="J33" s="56">
        <f t="shared" si="10"/>
        <v>0</v>
      </c>
      <c r="K33" s="301" t="str">
        <f>$K$12</f>
        <v xml:space="preserve">Mort + Sel Acum </v>
      </c>
      <c r="L33" s="293">
        <f>L30+L26</f>
        <v>0</v>
      </c>
      <c r="M33" s="438">
        <f>IF($M$3&gt;0,L33/$M$3,0)</f>
        <v>0</v>
      </c>
      <c r="N33" s="439">
        <f t="shared" ref="N33" ca="1" si="39">SUM(N31:N32)</f>
        <v>0</v>
      </c>
      <c r="O33" s="27"/>
      <c r="P33" s="33"/>
      <c r="Q33" s="33"/>
      <c r="R33" s="316">
        <f t="shared" si="11"/>
        <v>0</v>
      </c>
      <c r="S33" s="322"/>
      <c r="T33" s="33"/>
      <c r="U33" s="323"/>
      <c r="V33" s="324">
        <f t="shared" si="16"/>
        <v>0</v>
      </c>
      <c r="W33" s="307"/>
      <c r="X33" s="307"/>
      <c r="Y33" s="307"/>
      <c r="Z33" s="36">
        <f t="shared" si="17"/>
        <v>0</v>
      </c>
      <c r="AA33" s="370">
        <f t="shared" si="12"/>
        <v>0</v>
      </c>
      <c r="AB33" s="371">
        <f t="shared" si="1"/>
        <v>0</v>
      </c>
      <c r="AC33" s="372">
        <f t="shared" si="13"/>
        <v>0</v>
      </c>
      <c r="AD33" s="351">
        <f t="shared" si="2"/>
        <v>0</v>
      </c>
      <c r="AE33" s="502">
        <f t="shared" si="14"/>
        <v>0</v>
      </c>
      <c r="AF33" s="352">
        <f t="shared" si="3"/>
        <v>0</v>
      </c>
      <c r="AG33" s="30">
        <f t="shared" si="4"/>
        <v>0</v>
      </c>
      <c r="AH33" s="48">
        <f>IF($M$3&gt;0,TGsh!C31*$M$4%+TGsh!D31*(1-$M$4%),0)</f>
        <v>0</v>
      </c>
      <c r="AI33" s="342">
        <f>IF('Liq-Zoot'!$F$31&gt;0,AK29/1000*J33/'Liq-Zoot'!$F$31,0)</f>
        <v>0</v>
      </c>
      <c r="AJ33" s="343" t="str">
        <f>$AJ$12</f>
        <v>Fact. IP</v>
      </c>
      <c r="AK33" s="344">
        <f>IF(AK31&gt;0,AK32/AK31,0)</f>
        <v>0</v>
      </c>
      <c r="AL33" s="345">
        <f>IF(AL31&gt;0,AL32/AL31,0)</f>
        <v>0</v>
      </c>
      <c r="AM33" s="346" t="str">
        <f>IF(AK33&gt;0,(AK33-AL33)/AL33*100,"")</f>
        <v/>
      </c>
      <c r="AN33" s="50"/>
      <c r="AO33" s="19" t="s">
        <v>9</v>
      </c>
      <c r="AP33" s="20" t="s">
        <v>32</v>
      </c>
      <c r="AQ33" s="20" t="s">
        <v>33</v>
      </c>
      <c r="AR33" s="21" t="s">
        <v>14</v>
      </c>
      <c r="AS33" s="72">
        <f t="shared" si="5"/>
        <v>0</v>
      </c>
      <c r="AT33" s="72">
        <f t="shared" si="6"/>
        <v>0</v>
      </c>
      <c r="AU33" s="72">
        <f t="shared" si="7"/>
        <v>0</v>
      </c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</row>
    <row r="34" spans="1:58" ht="15.75" customHeight="1" x14ac:dyDescent="0.25">
      <c r="A34" s="928" t="s">
        <v>19</v>
      </c>
      <c r="B34" s="52" t="str">
        <f t="shared" si="8"/>
        <v/>
      </c>
      <c r="C34" s="374">
        <f t="shared" si="9"/>
        <v>29</v>
      </c>
      <c r="D34" s="392"/>
      <c r="E34" s="393"/>
      <c r="F34" s="394"/>
      <c r="G34" s="392"/>
      <c r="H34" s="403">
        <f t="shared" si="0"/>
        <v>0</v>
      </c>
      <c r="I34" s="418">
        <f>IF($Q$1&gt;0,TGsh!E32*$M$4%+TGsh!F32*(1-$M$4%),0)</f>
        <v>0</v>
      </c>
      <c r="J34" s="55">
        <f t="shared" si="10"/>
        <v>0</v>
      </c>
      <c r="K34" s="294" t="str">
        <f>$K$6</f>
        <v>Item</v>
      </c>
      <c r="L34" s="295" t="str">
        <f>$L$6</f>
        <v>#</v>
      </c>
      <c r="M34" s="295" t="str">
        <f>$M$6</f>
        <v>Real %</v>
      </c>
      <c r="N34" s="296" t="str">
        <f t="shared" ref="N34" si="40">$N$6</f>
        <v>Guia %</v>
      </c>
      <c r="O34" s="25"/>
      <c r="P34" s="31"/>
      <c r="Q34" s="31"/>
      <c r="R34" s="314">
        <f t="shared" si="11"/>
        <v>0</v>
      </c>
      <c r="S34" s="318"/>
      <c r="T34" s="31"/>
      <c r="U34" s="319"/>
      <c r="V34" s="34">
        <f t="shared" si="16"/>
        <v>0</v>
      </c>
      <c r="W34" s="305"/>
      <c r="X34" s="305"/>
      <c r="Y34" s="305"/>
      <c r="Z34" s="34">
        <f t="shared" si="17"/>
        <v>0</v>
      </c>
      <c r="AA34" s="364">
        <f t="shared" si="12"/>
        <v>0</v>
      </c>
      <c r="AB34" s="365">
        <f t="shared" si="1"/>
        <v>0</v>
      </c>
      <c r="AC34" s="366">
        <f t="shared" si="13"/>
        <v>0</v>
      </c>
      <c r="AD34" s="325">
        <f t="shared" si="2"/>
        <v>0</v>
      </c>
      <c r="AE34" s="326">
        <f t="shared" si="14"/>
        <v>0</v>
      </c>
      <c r="AF34" s="349">
        <f t="shared" si="3"/>
        <v>0</v>
      </c>
      <c r="AG34" s="28">
        <f t="shared" si="4"/>
        <v>0</v>
      </c>
      <c r="AH34" s="46">
        <f>IF($M$3&gt;0,TGsh!C32*$M$4%+TGsh!D32*(1-$M$4%),0)</f>
        <v>0</v>
      </c>
      <c r="AI34" s="347" t="str">
        <f>$AI$6</f>
        <v>Gr. Obten.</v>
      </c>
      <c r="AJ34" s="335" t="str">
        <f>$AJ$6</f>
        <v>Cons Sem</v>
      </c>
      <c r="AK34" s="3">
        <f>IF((J40+SUM(F34:F40))&gt;0,SUM(AD34:AD40)*40000/(J40+SUM(F34:F40)),0)</f>
        <v>0</v>
      </c>
      <c r="AL34" s="41">
        <f>SUMIF($AD34:$AD40,"&gt;0",AH34:AH40)</f>
        <v>0</v>
      </c>
      <c r="AM34" s="336" t="str">
        <f>IF(AK34&gt;0,(AK34-AL34)/AL34*100,"")</f>
        <v/>
      </c>
      <c r="AN34" s="50"/>
      <c r="AO34" s="14">
        <v>1</v>
      </c>
      <c r="AP34" s="3">
        <f>AK11</f>
        <v>0</v>
      </c>
      <c r="AQ34" s="3">
        <f t="shared" ref="AQ34:AR34" si="41">AL11</f>
        <v>0</v>
      </c>
      <c r="AR34" s="15" t="str">
        <f t="shared" si="41"/>
        <v/>
      </c>
      <c r="AS34" s="72">
        <f t="shared" si="5"/>
        <v>0</v>
      </c>
      <c r="AT34" s="72">
        <f t="shared" si="6"/>
        <v>0</v>
      </c>
      <c r="AU34" s="72">
        <f t="shared" si="7"/>
        <v>0</v>
      </c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</row>
    <row r="35" spans="1:58" ht="16.5" thickBot="1" x14ac:dyDescent="0.3">
      <c r="A35" s="929"/>
      <c r="B35" s="53" t="str">
        <f t="shared" si="8"/>
        <v/>
      </c>
      <c r="C35" s="375">
        <f t="shared" si="9"/>
        <v>30</v>
      </c>
      <c r="D35" s="395"/>
      <c r="E35" s="396"/>
      <c r="F35" s="397"/>
      <c r="G35" s="395"/>
      <c r="H35" s="404">
        <f t="shared" si="0"/>
        <v>0</v>
      </c>
      <c r="I35" s="421">
        <f>IF($Q$1&gt;0,TGsh!E33*$M$4%+TGsh!F33*(1-$M$4%),0)</f>
        <v>0</v>
      </c>
      <c r="J35" s="411">
        <f t="shared" si="10"/>
        <v>0</v>
      </c>
      <c r="K35" s="297" t="str">
        <f>$K$7</f>
        <v xml:space="preserve">Mort Sem </v>
      </c>
      <c r="L35" s="289">
        <f>SUM(D34:D40)</f>
        <v>0</v>
      </c>
      <c r="M35" s="429">
        <f>IF(J33&gt;0,L35/J33,0)</f>
        <v>0</v>
      </c>
      <c r="N35" s="430">
        <f ca="1">SUM(TGsh!G32:G38)</f>
        <v>0</v>
      </c>
      <c r="O35" s="26"/>
      <c r="P35" s="32"/>
      <c r="Q35" s="32"/>
      <c r="R35" s="315">
        <f t="shared" si="11"/>
        <v>0</v>
      </c>
      <c r="S35" s="320"/>
      <c r="T35" s="32"/>
      <c r="U35" s="321"/>
      <c r="V35" s="35">
        <f t="shared" si="16"/>
        <v>0</v>
      </c>
      <c r="W35" s="306"/>
      <c r="X35" s="306"/>
      <c r="Y35" s="306"/>
      <c r="Z35" s="35">
        <f t="shared" si="17"/>
        <v>0</v>
      </c>
      <c r="AA35" s="367">
        <f t="shared" si="12"/>
        <v>0</v>
      </c>
      <c r="AB35" s="368">
        <f t="shared" si="1"/>
        <v>0</v>
      </c>
      <c r="AC35" s="369">
        <f t="shared" si="13"/>
        <v>0</v>
      </c>
      <c r="AD35" s="327">
        <f t="shared" si="2"/>
        <v>0</v>
      </c>
      <c r="AE35" s="328">
        <f t="shared" si="14"/>
        <v>0</v>
      </c>
      <c r="AF35" s="350">
        <f t="shared" si="3"/>
        <v>0</v>
      </c>
      <c r="AG35" s="29">
        <f t="shared" si="4"/>
        <v>0</v>
      </c>
      <c r="AH35" s="47">
        <f>IF($M$3&gt;0,TGsh!C33*$M$4%+TGsh!D33*(1-$M$4%),0)</f>
        <v>0</v>
      </c>
      <c r="AI35" s="337">
        <f>IF(SUM(AD34:AD40)&gt;0,AVERAGEIF(AD34:AD40,"&gt;0",AG34:AG40),0)</f>
        <v>0</v>
      </c>
      <c r="AJ35" s="338" t="str">
        <f>$AJ$7</f>
        <v>Cons Acum</v>
      </c>
      <c r="AK35" s="339">
        <f>IF((J40+SUM(F$6:F40))&gt;0,SUM(AD$6:AD40)*40000/(J40+SUM(F$6:F40)),0)</f>
        <v>0</v>
      </c>
      <c r="AL35" s="340">
        <f>AL28+AL34</f>
        <v>0</v>
      </c>
      <c r="AM35" s="341" t="str">
        <f>IF(AK34&gt;0,(AK35-AL35)/AL35*100,"")</f>
        <v/>
      </c>
      <c r="AN35" s="50"/>
      <c r="AO35" s="16">
        <f>AO34+1</f>
        <v>2</v>
      </c>
      <c r="AP35" s="8">
        <f>AK18</f>
        <v>0</v>
      </c>
      <c r="AQ35" s="8">
        <f t="shared" ref="AQ35:AR35" si="42">AL18</f>
        <v>0</v>
      </c>
      <c r="AR35" s="17" t="str">
        <f t="shared" si="42"/>
        <v/>
      </c>
      <c r="AS35" s="72">
        <f t="shared" si="5"/>
        <v>0</v>
      </c>
      <c r="AT35" s="72">
        <f t="shared" si="6"/>
        <v>0</v>
      </c>
      <c r="AU35" s="72">
        <f t="shared" si="7"/>
        <v>0</v>
      </c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</row>
    <row r="36" spans="1:58" ht="16.5" thickBot="1" x14ac:dyDescent="0.3">
      <c r="A36" s="929"/>
      <c r="B36" s="53" t="str">
        <f t="shared" si="8"/>
        <v/>
      </c>
      <c r="C36" s="375">
        <f t="shared" si="9"/>
        <v>31</v>
      </c>
      <c r="D36" s="395"/>
      <c r="E36" s="396"/>
      <c r="F36" s="397"/>
      <c r="G36" s="395"/>
      <c r="H36" s="404">
        <f t="shared" si="0"/>
        <v>0</v>
      </c>
      <c r="I36" s="421">
        <f>IF($Q$1&gt;0,TGsh!E34*$M$4%+TGsh!F34*(1-$M$4%),0)</f>
        <v>0</v>
      </c>
      <c r="J36" s="411">
        <f t="shared" si="10"/>
        <v>0</v>
      </c>
      <c r="K36" s="298" t="str">
        <f>$K$8</f>
        <v xml:space="preserve">Sel Sem </v>
      </c>
      <c r="L36" s="290">
        <f>SUM(E34:E40)</f>
        <v>0</v>
      </c>
      <c r="M36" s="431">
        <f>IF(J33&gt;0,L36/J33,0)</f>
        <v>0</v>
      </c>
      <c r="N36" s="432">
        <v>0</v>
      </c>
      <c r="O36" s="26"/>
      <c r="P36" s="32"/>
      <c r="Q36" s="32"/>
      <c r="R36" s="315">
        <f t="shared" si="11"/>
        <v>0</v>
      </c>
      <c r="S36" s="320"/>
      <c r="T36" s="32"/>
      <c r="U36" s="321"/>
      <c r="V36" s="35">
        <f t="shared" si="16"/>
        <v>0</v>
      </c>
      <c r="W36" s="306"/>
      <c r="X36" s="306"/>
      <c r="Y36" s="306"/>
      <c r="Z36" s="35">
        <f t="shared" si="17"/>
        <v>0</v>
      </c>
      <c r="AA36" s="367">
        <f t="shared" si="12"/>
        <v>0</v>
      </c>
      <c r="AB36" s="368">
        <f t="shared" si="1"/>
        <v>0</v>
      </c>
      <c r="AC36" s="369">
        <f t="shared" si="13"/>
        <v>0</v>
      </c>
      <c r="AD36" s="327">
        <f t="shared" si="2"/>
        <v>0</v>
      </c>
      <c r="AE36" s="328">
        <f t="shared" si="14"/>
        <v>0</v>
      </c>
      <c r="AF36" s="350">
        <f t="shared" si="3"/>
        <v>0</v>
      </c>
      <c r="AG36" s="29">
        <f t="shared" si="4"/>
        <v>0</v>
      </c>
      <c r="AH36" s="47">
        <f>IF($M$3&gt;0,TGsh!C34*$M$4%+TGsh!D34*(1-$M$4%),0)</f>
        <v>0</v>
      </c>
      <c r="AI36" s="40" t="str">
        <f>$AI$8</f>
        <v>Gr. Guía</v>
      </c>
      <c r="AJ36" s="4" t="str">
        <f>$AJ$8</f>
        <v>Peso Sem</v>
      </c>
      <c r="AK36" s="332">
        <f>IF(SUM($F34:$F40)&gt;0,SUMPRODUCT($F34:$F40,H34:H40)/SUM($F34:$F40),0)</f>
        <v>0</v>
      </c>
      <c r="AL36" s="42">
        <f>IF($Q$1&gt;0,I40,0)</f>
        <v>0</v>
      </c>
      <c r="AM36" s="9" t="str">
        <f>IF(AK36&gt;0,(AK36-AL36)/AL36*100,"")</f>
        <v/>
      </c>
      <c r="AN36" s="50"/>
      <c r="AO36" s="16">
        <f t="shared" ref="AO36:AO41" si="43">AO35+1</f>
        <v>3</v>
      </c>
      <c r="AP36" s="8">
        <f>AK25</f>
        <v>0</v>
      </c>
      <c r="AQ36" s="8">
        <f t="shared" ref="AQ36:AR36" si="44">AL25</f>
        <v>0</v>
      </c>
      <c r="AR36" s="17" t="str">
        <f t="shared" si="44"/>
        <v/>
      </c>
      <c r="AS36" s="72">
        <f t="shared" si="5"/>
        <v>0</v>
      </c>
      <c r="AT36" s="72">
        <f t="shared" si="6"/>
        <v>0</v>
      </c>
      <c r="AU36" s="72">
        <f t="shared" si="7"/>
        <v>0</v>
      </c>
      <c r="AV36" s="50"/>
      <c r="AW36" s="50"/>
      <c r="AX36" s="50"/>
      <c r="AY36" s="50"/>
      <c r="AZ36" s="19" t="s">
        <v>9</v>
      </c>
      <c r="BA36" s="20" t="s">
        <v>47</v>
      </c>
      <c r="BB36" s="20" t="s">
        <v>48</v>
      </c>
      <c r="BC36" s="21" t="s">
        <v>14</v>
      </c>
      <c r="BD36" s="50"/>
      <c r="BE36" s="50"/>
      <c r="BF36" s="50"/>
    </row>
    <row r="37" spans="1:58" ht="15.75" x14ac:dyDescent="0.25">
      <c r="A37" s="929"/>
      <c r="B37" s="53" t="str">
        <f t="shared" si="8"/>
        <v/>
      </c>
      <c r="C37" s="375">
        <f t="shared" si="9"/>
        <v>32</v>
      </c>
      <c r="D37" s="395"/>
      <c r="E37" s="396"/>
      <c r="F37" s="397"/>
      <c r="G37" s="395"/>
      <c r="H37" s="404">
        <f t="shared" si="0"/>
        <v>0</v>
      </c>
      <c r="I37" s="421">
        <f>IF($Q$1&gt;0,TGsh!E35*$M$4%+TGsh!F35*(1-$M$4%),0)</f>
        <v>0</v>
      </c>
      <c r="J37" s="411">
        <f t="shared" si="10"/>
        <v>0</v>
      </c>
      <c r="K37" s="299" t="str">
        <f>$K$9</f>
        <v xml:space="preserve">Mort + Sel Sem </v>
      </c>
      <c r="L37" s="291">
        <f>SUM(L35:L36)</f>
        <v>0</v>
      </c>
      <c r="M37" s="433">
        <f>IF(J33&gt;0,L37/J33,0)</f>
        <v>0</v>
      </c>
      <c r="N37" s="434">
        <f t="shared" ref="N37" ca="1" si="45">SUM(N35:N36)</f>
        <v>0</v>
      </c>
      <c r="O37" s="26"/>
      <c r="P37" s="32"/>
      <c r="Q37" s="32"/>
      <c r="R37" s="315">
        <f t="shared" si="11"/>
        <v>0</v>
      </c>
      <c r="S37" s="320"/>
      <c r="T37" s="32"/>
      <c r="U37" s="321"/>
      <c r="V37" s="35">
        <f t="shared" si="16"/>
        <v>0</v>
      </c>
      <c r="W37" s="306"/>
      <c r="X37" s="306"/>
      <c r="Y37" s="306"/>
      <c r="Z37" s="35">
        <f t="shared" si="17"/>
        <v>0</v>
      </c>
      <c r="AA37" s="367">
        <f t="shared" si="12"/>
        <v>0</v>
      </c>
      <c r="AB37" s="368">
        <f t="shared" si="1"/>
        <v>0</v>
      </c>
      <c r="AC37" s="369">
        <f t="shared" si="13"/>
        <v>0</v>
      </c>
      <c r="AD37" s="327">
        <f t="shared" si="2"/>
        <v>0</v>
      </c>
      <c r="AE37" s="328">
        <f t="shared" si="14"/>
        <v>0</v>
      </c>
      <c r="AF37" s="350">
        <f t="shared" si="3"/>
        <v>0</v>
      </c>
      <c r="AG37" s="29">
        <f t="shared" si="4"/>
        <v>0</v>
      </c>
      <c r="AH37" s="47">
        <f>IF($M$3&gt;0,TGsh!C35*$M$4%+TGsh!D35*(1-$M$4%),0)</f>
        <v>0</v>
      </c>
      <c r="AI37" s="337">
        <f>IF(SUM(AD34:AD40)&gt;0,AVERAGEIF(AD34:AD40,"&gt;0",AH34:AH40),0)</f>
        <v>0</v>
      </c>
      <c r="AJ37" s="5" t="str">
        <f t="shared" ref="AJ37" si="46">AJ30</f>
        <v>Gan Dia</v>
      </c>
      <c r="AK37" s="6">
        <f>IF(AND(AK29&gt;0,AK36&gt;0),(AK36-AK29)/(COUNTIF(AD34:AD40,"&gt;0")),0)</f>
        <v>0</v>
      </c>
      <c r="AL37" s="43">
        <f>IF(AND(AL29&gt;0,AL36&gt;0,COUNTIF(AD34:AD40,"&gt;0")),(AL36-AL29)/COUNTIF(AD34:AD40,"&gt;0"),0)</f>
        <v>0</v>
      </c>
      <c r="AM37" s="10" t="str">
        <f>IF(AK37&gt;0,(AK37-AL37)/AL37*100,"")</f>
        <v/>
      </c>
      <c r="AN37" s="354"/>
      <c r="AO37" s="16">
        <f t="shared" si="43"/>
        <v>4</v>
      </c>
      <c r="AP37" s="8">
        <f>AK32</f>
        <v>0</v>
      </c>
      <c r="AQ37" s="8">
        <f t="shared" ref="AQ37:AR37" si="47">AL32</f>
        <v>0</v>
      </c>
      <c r="AR37" s="17" t="str">
        <f t="shared" si="47"/>
        <v/>
      </c>
      <c r="AS37" s="72">
        <f t="shared" si="5"/>
        <v>0</v>
      </c>
      <c r="AT37" s="72">
        <f t="shared" si="6"/>
        <v>0</v>
      </c>
      <c r="AU37" s="72">
        <f t="shared" si="7"/>
        <v>0</v>
      </c>
      <c r="AV37" s="50"/>
      <c r="AW37" s="50"/>
      <c r="AX37" s="50"/>
      <c r="AY37" s="50"/>
      <c r="AZ37" s="14">
        <v>1</v>
      </c>
      <c r="BA37" s="3">
        <f>AI12</f>
        <v>0</v>
      </c>
      <c r="BB37" s="3">
        <f>IF('Liq-Zoot'!$E$31&gt;0,AL8/1000*J12/'Liq-Zoot'!$E$31,0)</f>
        <v>0</v>
      </c>
      <c r="BC37" s="15" t="str">
        <f>IF(BA37&gt;0,(BA37-BB37)/BB37*100,"")</f>
        <v/>
      </c>
      <c r="BD37" s="50"/>
      <c r="BE37" s="50"/>
      <c r="BF37" s="50"/>
    </row>
    <row r="38" spans="1:58" ht="15.75" customHeight="1" x14ac:dyDescent="0.25">
      <c r="A38" s="929"/>
      <c r="B38" s="53" t="str">
        <f t="shared" si="8"/>
        <v/>
      </c>
      <c r="C38" s="375">
        <f t="shared" si="9"/>
        <v>33</v>
      </c>
      <c r="D38" s="395"/>
      <c r="E38" s="396"/>
      <c r="F38" s="397"/>
      <c r="G38" s="395"/>
      <c r="H38" s="404">
        <f t="shared" si="0"/>
        <v>0</v>
      </c>
      <c r="I38" s="421">
        <f>IF($Q$1&gt;0,TGsh!E36*$M$4%+TGsh!F36*(1-$M$4%),0)</f>
        <v>0</v>
      </c>
      <c r="J38" s="411">
        <f t="shared" si="10"/>
        <v>0</v>
      </c>
      <c r="K38" s="300" t="str">
        <f>$K$10</f>
        <v xml:space="preserve">Mort Acum </v>
      </c>
      <c r="L38" s="292">
        <f>L35+L31</f>
        <v>0</v>
      </c>
      <c r="M38" s="435">
        <f>IF($M$3&gt;0,L38/$M$3,0)</f>
        <v>0</v>
      </c>
      <c r="N38" s="436">
        <f ca="1">TGsh!H38</f>
        <v>0</v>
      </c>
      <c r="O38" s="26"/>
      <c r="P38" s="32"/>
      <c r="Q38" s="32"/>
      <c r="R38" s="315">
        <f t="shared" si="11"/>
        <v>0</v>
      </c>
      <c r="S38" s="320"/>
      <c r="T38" s="32"/>
      <c r="U38" s="321"/>
      <c r="V38" s="35">
        <f t="shared" si="16"/>
        <v>0</v>
      </c>
      <c r="W38" s="306"/>
      <c r="X38" s="306"/>
      <c r="Y38" s="306"/>
      <c r="Z38" s="35">
        <f t="shared" si="17"/>
        <v>0</v>
      </c>
      <c r="AA38" s="367">
        <f t="shared" si="12"/>
        <v>0</v>
      </c>
      <c r="AB38" s="368">
        <f t="shared" si="1"/>
        <v>0</v>
      </c>
      <c r="AC38" s="369">
        <f t="shared" si="13"/>
        <v>0</v>
      </c>
      <c r="AD38" s="327">
        <f t="shared" si="2"/>
        <v>0</v>
      </c>
      <c r="AE38" s="328">
        <f t="shared" si="14"/>
        <v>0</v>
      </c>
      <c r="AF38" s="350">
        <f t="shared" ref="AF38:AF61" si="48">MROUND(AH38*SUM(D38:F38,J38)/40000,0.1)</f>
        <v>0</v>
      </c>
      <c r="AG38" s="29">
        <f t="shared" si="4"/>
        <v>0</v>
      </c>
      <c r="AH38" s="47">
        <f>IF($M$3&gt;0,TGsh!C36*$M$4%+TGsh!D36*(1-$M$4%),0)</f>
        <v>0</v>
      </c>
      <c r="AI38" s="891" t="s">
        <v>46</v>
      </c>
      <c r="AJ38" s="7" t="str">
        <f>$AJ$10</f>
        <v>Conversión</v>
      </c>
      <c r="AK38" s="13">
        <f>IF(AK36&gt;0,AK35/AK36,0)</f>
        <v>0</v>
      </c>
      <c r="AL38" s="44">
        <f>IF(AL36&gt;0,AL35/AL36,0)</f>
        <v>0</v>
      </c>
      <c r="AM38" s="11" t="str">
        <f>IF(AK36&gt;0,-(AK38-AL38)/AL38*100,"")</f>
        <v/>
      </c>
      <c r="AN38" s="50"/>
      <c r="AO38" s="16">
        <f t="shared" si="43"/>
        <v>5</v>
      </c>
      <c r="AP38" s="8">
        <f>AK39</f>
        <v>0</v>
      </c>
      <c r="AQ38" s="8">
        <f t="shared" ref="AQ38:AR38" si="49">AL39</f>
        <v>0</v>
      </c>
      <c r="AR38" s="17" t="str">
        <f t="shared" si="49"/>
        <v/>
      </c>
      <c r="AS38" s="72">
        <f t="shared" si="5"/>
        <v>0</v>
      </c>
      <c r="AT38" s="72">
        <f t="shared" si="6"/>
        <v>0</v>
      </c>
      <c r="AU38" s="72">
        <f t="shared" si="7"/>
        <v>0</v>
      </c>
      <c r="AV38" s="50"/>
      <c r="AW38" s="50"/>
      <c r="AX38" s="50"/>
      <c r="AY38" s="50"/>
      <c r="AZ38" s="16">
        <f>AZ37+1</f>
        <v>2</v>
      </c>
      <c r="BA38" s="8">
        <f>AI19</f>
        <v>0</v>
      </c>
      <c r="BB38" s="8">
        <f>IF('Liq-Zoot'!$E$31&gt;0,AL15/1000*J19/'Liq-Zoot'!$E$31,0)</f>
        <v>0</v>
      </c>
      <c r="BC38" s="17" t="str">
        <f t="shared" ref="BC38:BC44" si="50">IF(BA38&gt;0,(BA38-BB38)/BB38*100,"")</f>
        <v/>
      </c>
      <c r="BD38" s="50"/>
      <c r="BE38" s="50"/>
      <c r="BF38" s="50"/>
    </row>
    <row r="39" spans="1:58" ht="15.75" x14ac:dyDescent="0.25">
      <c r="A39" s="929"/>
      <c r="B39" s="53" t="str">
        <f t="shared" si="8"/>
        <v/>
      </c>
      <c r="C39" s="375">
        <f t="shared" si="9"/>
        <v>34</v>
      </c>
      <c r="D39" s="395"/>
      <c r="E39" s="396"/>
      <c r="F39" s="397"/>
      <c r="G39" s="409"/>
      <c r="H39" s="405">
        <f t="shared" si="0"/>
        <v>0</v>
      </c>
      <c r="I39" s="420">
        <f>IF($Q$1&gt;0,TGsh!E37*$M$4%+TGsh!F37*(1-$M$4%),0)</f>
        <v>0</v>
      </c>
      <c r="J39" s="412">
        <f t="shared" si="10"/>
        <v>0</v>
      </c>
      <c r="K39" s="298" t="str">
        <f>$K$11</f>
        <v xml:space="preserve">Sel Acum </v>
      </c>
      <c r="L39" s="290">
        <f>L36+L32</f>
        <v>0</v>
      </c>
      <c r="M39" s="431">
        <f>IF($M$3&gt;0,L39/$M$3,0)</f>
        <v>0</v>
      </c>
      <c r="N39" s="437">
        <f t="shared" ref="N39" si="51">N36+N32</f>
        <v>0</v>
      </c>
      <c r="O39" s="26"/>
      <c r="P39" s="32"/>
      <c r="Q39" s="32"/>
      <c r="R39" s="315">
        <f t="shared" si="11"/>
        <v>0</v>
      </c>
      <c r="S39" s="320"/>
      <c r="T39" s="32"/>
      <c r="U39" s="321"/>
      <c r="V39" s="35">
        <f t="shared" si="16"/>
        <v>0</v>
      </c>
      <c r="W39" s="306"/>
      <c r="X39" s="306"/>
      <c r="Y39" s="306"/>
      <c r="Z39" s="35">
        <f t="shared" si="17"/>
        <v>0</v>
      </c>
      <c r="AA39" s="367">
        <f t="shared" si="12"/>
        <v>0</v>
      </c>
      <c r="AB39" s="368">
        <f t="shared" si="1"/>
        <v>0</v>
      </c>
      <c r="AC39" s="369">
        <f t="shared" si="13"/>
        <v>0</v>
      </c>
      <c r="AD39" s="327">
        <f t="shared" si="2"/>
        <v>0</v>
      </c>
      <c r="AE39" s="328">
        <f t="shared" si="14"/>
        <v>0</v>
      </c>
      <c r="AF39" s="350">
        <f t="shared" si="48"/>
        <v>0</v>
      </c>
      <c r="AG39" s="29">
        <f t="shared" si="4"/>
        <v>0</v>
      </c>
      <c r="AH39" s="47">
        <f>IF($M$3&gt;0,TGsh!C37*$M$4%+TGsh!D37*(1-$M$4%),0)</f>
        <v>0</v>
      </c>
      <c r="AI39" s="892"/>
      <c r="AJ39" s="7" t="str">
        <f>$AJ$11</f>
        <v>Ef. Alim</v>
      </c>
      <c r="AK39" s="12">
        <f>IF(AK38&gt;0,AK36/AK38/10,0)</f>
        <v>0</v>
      </c>
      <c r="AL39" s="45">
        <f>IF(AL38&gt;0,AL36/AL38/10,0)</f>
        <v>0</v>
      </c>
      <c r="AM39" s="11" t="str">
        <f>IF(AK39&gt;0,(AK39-AL39)/AL39*100,"")</f>
        <v/>
      </c>
      <c r="AN39" s="50"/>
      <c r="AO39" s="16">
        <f t="shared" si="43"/>
        <v>6</v>
      </c>
      <c r="AP39" s="8">
        <f>AK46</f>
        <v>0</v>
      </c>
      <c r="AQ39" s="8">
        <f t="shared" ref="AQ39:AR39" si="52">AL46</f>
        <v>0</v>
      </c>
      <c r="AR39" s="17" t="str">
        <f t="shared" si="52"/>
        <v/>
      </c>
      <c r="AS39" s="72">
        <f t="shared" si="5"/>
        <v>0</v>
      </c>
      <c r="AT39" s="72">
        <f t="shared" si="6"/>
        <v>0</v>
      </c>
      <c r="AU39" s="72">
        <f t="shared" si="7"/>
        <v>0</v>
      </c>
      <c r="AV39" s="50"/>
      <c r="AW39" s="50"/>
      <c r="AX39" s="50"/>
      <c r="AY39" s="50"/>
      <c r="AZ39" s="16">
        <f t="shared" ref="AZ39:AZ44" si="53">AZ38+1</f>
        <v>3</v>
      </c>
      <c r="BA39" s="8">
        <f>AI26</f>
        <v>0</v>
      </c>
      <c r="BB39" s="8">
        <f>IF('Liq-Zoot'!$E$31&gt;0,AL22/1000*J26/'Liq-Zoot'!$E$31,0)</f>
        <v>0</v>
      </c>
      <c r="BC39" s="17" t="str">
        <f t="shared" si="50"/>
        <v/>
      </c>
      <c r="BD39" s="50"/>
      <c r="BE39" s="50"/>
      <c r="BF39" s="50"/>
    </row>
    <row r="40" spans="1:58" ht="16.5" thickBot="1" x14ac:dyDescent="0.3">
      <c r="A40" s="930"/>
      <c r="B40" s="54" t="str">
        <f t="shared" si="8"/>
        <v/>
      </c>
      <c r="C40" s="376">
        <f t="shared" si="9"/>
        <v>35</v>
      </c>
      <c r="D40" s="400"/>
      <c r="E40" s="401"/>
      <c r="F40" s="402"/>
      <c r="G40" s="400"/>
      <c r="H40" s="406">
        <f t="shared" si="0"/>
        <v>0</v>
      </c>
      <c r="I40" s="419">
        <f>IF($Q$1&gt;0,TGsh!E38*$M$4%+TGsh!F38*(1-$M$4%),0)</f>
        <v>0</v>
      </c>
      <c r="J40" s="56">
        <f t="shared" si="10"/>
        <v>0</v>
      </c>
      <c r="K40" s="301" t="str">
        <f>$K$12</f>
        <v xml:space="preserve">Mort + Sel Acum </v>
      </c>
      <c r="L40" s="293">
        <f>L37+L33</f>
        <v>0</v>
      </c>
      <c r="M40" s="438">
        <f>IF($M$3&gt;0,L40/$M$3,0)</f>
        <v>0</v>
      </c>
      <c r="N40" s="439">
        <f t="shared" ref="N40" ca="1" si="54">SUM(N38:N39)</f>
        <v>0</v>
      </c>
      <c r="O40" s="27"/>
      <c r="P40" s="33"/>
      <c r="Q40" s="33"/>
      <c r="R40" s="316">
        <f t="shared" si="11"/>
        <v>0</v>
      </c>
      <c r="S40" s="322"/>
      <c r="T40" s="33"/>
      <c r="U40" s="323"/>
      <c r="V40" s="324">
        <f t="shared" si="16"/>
        <v>0</v>
      </c>
      <c r="W40" s="307"/>
      <c r="X40" s="307"/>
      <c r="Y40" s="307"/>
      <c r="Z40" s="36">
        <f t="shared" si="17"/>
        <v>0</v>
      </c>
      <c r="AA40" s="370">
        <f t="shared" si="12"/>
        <v>0</v>
      </c>
      <c r="AB40" s="371">
        <f t="shared" si="1"/>
        <v>0</v>
      </c>
      <c r="AC40" s="372">
        <f t="shared" si="13"/>
        <v>0</v>
      </c>
      <c r="AD40" s="351">
        <f t="shared" si="2"/>
        <v>0</v>
      </c>
      <c r="AE40" s="502">
        <f t="shared" si="14"/>
        <v>0</v>
      </c>
      <c r="AF40" s="352">
        <f t="shared" si="48"/>
        <v>0</v>
      </c>
      <c r="AG40" s="30">
        <f t="shared" si="4"/>
        <v>0</v>
      </c>
      <c r="AH40" s="48">
        <f>IF($M$3&gt;0,TGsh!C38*$M$4%+TGsh!D38*(1-$M$4%),0)</f>
        <v>0</v>
      </c>
      <c r="AI40" s="342">
        <f>IF('Liq-Zoot'!$F$31&gt;0,AK36/1000*J40/'Liq-Zoot'!$F$31,0)</f>
        <v>0</v>
      </c>
      <c r="AJ40" s="343" t="str">
        <f>$AJ$12</f>
        <v>Fact. IP</v>
      </c>
      <c r="AK40" s="344">
        <f>IF(AK38&gt;0,AK39/AK38,0)</f>
        <v>0</v>
      </c>
      <c r="AL40" s="345">
        <f>IF(AL38&gt;0,AL39/AL38,0)</f>
        <v>0</v>
      </c>
      <c r="AM40" s="346" t="str">
        <f>IF(AK40&gt;0,(AK40-AL40)/AL40*100,"")</f>
        <v/>
      </c>
      <c r="AN40" s="50"/>
      <c r="AO40" s="16">
        <f t="shared" si="43"/>
        <v>7</v>
      </c>
      <c r="AP40" s="8">
        <f>AK53</f>
        <v>0</v>
      </c>
      <c r="AQ40" s="8">
        <f t="shared" ref="AQ40:AR40" si="55">AL53</f>
        <v>0</v>
      </c>
      <c r="AR40" s="17" t="str">
        <f t="shared" si="55"/>
        <v/>
      </c>
      <c r="AS40" s="72">
        <f t="shared" si="5"/>
        <v>0</v>
      </c>
      <c r="AT40" s="72">
        <f t="shared" si="6"/>
        <v>0</v>
      </c>
      <c r="AU40" s="72">
        <f t="shared" si="7"/>
        <v>0</v>
      </c>
      <c r="AV40" s="50"/>
      <c r="AW40" s="50"/>
      <c r="AX40" s="50"/>
      <c r="AY40" s="50"/>
      <c r="AZ40" s="16">
        <f t="shared" si="53"/>
        <v>4</v>
      </c>
      <c r="BA40" s="8">
        <f>AI33</f>
        <v>0</v>
      </c>
      <c r="BB40" s="8">
        <f>IF('Liq-Zoot'!$E$31&gt;0,AL29/1000*J33/'Liq-Zoot'!$E$31,0)</f>
        <v>0</v>
      </c>
      <c r="BC40" s="17" t="str">
        <f t="shared" si="50"/>
        <v/>
      </c>
      <c r="BD40" s="50"/>
      <c r="BE40" s="50"/>
      <c r="BF40" s="50"/>
    </row>
    <row r="41" spans="1:58" ht="16.5" customHeight="1" thickBot="1" x14ac:dyDescent="0.3">
      <c r="A41" s="928" t="s">
        <v>23</v>
      </c>
      <c r="B41" s="52" t="str">
        <f t="shared" si="8"/>
        <v/>
      </c>
      <c r="C41" s="374">
        <f t="shared" si="9"/>
        <v>36</v>
      </c>
      <c r="D41" s="392"/>
      <c r="E41" s="393"/>
      <c r="F41" s="394"/>
      <c r="G41" s="392"/>
      <c r="H41" s="403">
        <f t="shared" si="0"/>
        <v>0</v>
      </c>
      <c r="I41" s="418">
        <f>IF($Q$1&gt;0,TGsh!E39*$M$4%+TGsh!F39*(1-$M$4%),0)</f>
        <v>0</v>
      </c>
      <c r="J41" s="55">
        <f t="shared" si="10"/>
        <v>0</v>
      </c>
      <c r="K41" s="294" t="str">
        <f>$K$6</f>
        <v>Item</v>
      </c>
      <c r="L41" s="295" t="str">
        <f>$L$6</f>
        <v>#</v>
      </c>
      <c r="M41" s="295" t="str">
        <f>$M$6</f>
        <v>Real %</v>
      </c>
      <c r="N41" s="296" t="str">
        <f t="shared" ref="N41" si="56">$N$6</f>
        <v>Guia %</v>
      </c>
      <c r="O41" s="25"/>
      <c r="P41" s="31"/>
      <c r="Q41" s="31"/>
      <c r="R41" s="314">
        <f t="shared" si="11"/>
        <v>0</v>
      </c>
      <c r="S41" s="318"/>
      <c r="T41" s="31"/>
      <c r="U41" s="319"/>
      <c r="V41" s="34">
        <f t="shared" si="16"/>
        <v>0</v>
      </c>
      <c r="W41" s="305"/>
      <c r="X41" s="305"/>
      <c r="Y41" s="305"/>
      <c r="Z41" s="34">
        <f t="shared" si="17"/>
        <v>0</v>
      </c>
      <c r="AA41" s="364">
        <f t="shared" si="12"/>
        <v>0</v>
      </c>
      <c r="AB41" s="365">
        <f t="shared" si="1"/>
        <v>0</v>
      </c>
      <c r="AC41" s="366">
        <f t="shared" si="13"/>
        <v>0</v>
      </c>
      <c r="AD41" s="325">
        <f t="shared" si="2"/>
        <v>0</v>
      </c>
      <c r="AE41" s="326">
        <f t="shared" si="14"/>
        <v>0</v>
      </c>
      <c r="AF41" s="349">
        <f t="shared" si="48"/>
        <v>0</v>
      </c>
      <c r="AG41" s="28">
        <f t="shared" si="4"/>
        <v>0</v>
      </c>
      <c r="AH41" s="46">
        <f>IF($M$3&gt;0,TGsh!C39*$M$4%+TGsh!D39*(1-$M$4%),0)</f>
        <v>0</v>
      </c>
      <c r="AI41" s="347" t="str">
        <f>$AI$6</f>
        <v>Gr. Obten.</v>
      </c>
      <c r="AJ41" s="335" t="str">
        <f>$AJ$6</f>
        <v>Cons Sem</v>
      </c>
      <c r="AK41" s="3">
        <f>IF((J47+SUM(F41:F47))&gt;0,SUM(AD41:AD47)*40000/(J47+SUM(F41:F47)),0)</f>
        <v>0</v>
      </c>
      <c r="AL41" s="41">
        <f>SUMIF($AD41:$AD47,"&gt;0",AH41:AH47)</f>
        <v>0</v>
      </c>
      <c r="AM41" s="336" t="str">
        <f>IF(AK41&gt;0,(AK41-AL41)/AL41*100,"")</f>
        <v/>
      </c>
      <c r="AN41" s="50"/>
      <c r="AO41" s="18">
        <f t="shared" si="43"/>
        <v>8</v>
      </c>
      <c r="AP41" s="22">
        <f>AK60</f>
        <v>0</v>
      </c>
      <c r="AQ41" s="22">
        <f t="shared" ref="AQ41:AR41" si="57">AL60</f>
        <v>0</v>
      </c>
      <c r="AR41" s="23" t="str">
        <f t="shared" si="57"/>
        <v/>
      </c>
      <c r="AS41" s="72">
        <f t="shared" si="5"/>
        <v>0</v>
      </c>
      <c r="AT41" s="72">
        <f t="shared" si="6"/>
        <v>0</v>
      </c>
      <c r="AU41" s="72">
        <f t="shared" si="7"/>
        <v>0</v>
      </c>
      <c r="AV41" s="50"/>
      <c r="AW41" s="50"/>
      <c r="AX41" s="50"/>
      <c r="AY41" s="50"/>
      <c r="AZ41" s="16">
        <f t="shared" si="53"/>
        <v>5</v>
      </c>
      <c r="BA41" s="8">
        <f>AI40</f>
        <v>0</v>
      </c>
      <c r="BB41" s="8">
        <f>IF('Liq-Zoot'!$E$31&gt;0,AL36/1000*J40/'Liq-Zoot'!$E$31,0)</f>
        <v>0</v>
      </c>
      <c r="BC41" s="17" t="str">
        <f t="shared" si="50"/>
        <v/>
      </c>
      <c r="BD41" s="50"/>
      <c r="BE41" s="50"/>
      <c r="BF41" s="50"/>
    </row>
    <row r="42" spans="1:58" ht="16.5" thickBot="1" x14ac:dyDescent="0.3">
      <c r="A42" s="929"/>
      <c r="B42" s="53" t="str">
        <f t="shared" si="8"/>
        <v/>
      </c>
      <c r="C42" s="375">
        <f t="shared" si="9"/>
        <v>37</v>
      </c>
      <c r="D42" s="395"/>
      <c r="E42" s="396"/>
      <c r="F42" s="397"/>
      <c r="G42" s="395"/>
      <c r="H42" s="404">
        <f t="shared" si="0"/>
        <v>0</v>
      </c>
      <c r="I42" s="421">
        <f>IF($Q$1&gt;0,TGsh!E40*$M$4%+TGsh!F40*(1-$M$4%),0)</f>
        <v>0</v>
      </c>
      <c r="J42" s="411">
        <f t="shared" si="10"/>
        <v>0</v>
      </c>
      <c r="K42" s="297" t="str">
        <f>$K$7</f>
        <v xml:space="preserve">Mort Sem </v>
      </c>
      <c r="L42" s="289">
        <f>SUM(D41:D47)</f>
        <v>0</v>
      </c>
      <c r="M42" s="429">
        <f>IF(J40&gt;0,L42/J40,0)</f>
        <v>0</v>
      </c>
      <c r="N42" s="430">
        <f ca="1">SUM(TGsh!G39:G45)</f>
        <v>0</v>
      </c>
      <c r="O42" s="26"/>
      <c r="P42" s="32"/>
      <c r="Q42" s="32"/>
      <c r="R42" s="315">
        <f t="shared" si="11"/>
        <v>0</v>
      </c>
      <c r="S42" s="320"/>
      <c r="T42" s="32"/>
      <c r="U42" s="321"/>
      <c r="V42" s="35">
        <f t="shared" si="16"/>
        <v>0</v>
      </c>
      <c r="W42" s="306"/>
      <c r="X42" s="306"/>
      <c r="Y42" s="306"/>
      <c r="Z42" s="35">
        <f t="shared" si="17"/>
        <v>0</v>
      </c>
      <c r="AA42" s="367">
        <f t="shared" si="12"/>
        <v>0</v>
      </c>
      <c r="AB42" s="368">
        <f t="shared" si="1"/>
        <v>0</v>
      </c>
      <c r="AC42" s="369">
        <f t="shared" si="13"/>
        <v>0</v>
      </c>
      <c r="AD42" s="327">
        <f t="shared" si="2"/>
        <v>0</v>
      </c>
      <c r="AE42" s="328">
        <f t="shared" si="14"/>
        <v>0</v>
      </c>
      <c r="AF42" s="350">
        <f t="shared" si="48"/>
        <v>0</v>
      </c>
      <c r="AG42" s="29">
        <f t="shared" si="4"/>
        <v>0</v>
      </c>
      <c r="AH42" s="47">
        <f>IF($M$3&gt;0,TGsh!C40*$M$4%+TGsh!D40*(1-$M$4%),0)</f>
        <v>0</v>
      </c>
      <c r="AI42" s="337">
        <f>IF(SUM(AD41:AD47)&gt;0,AVERAGEIF(AD41:AD47,"&gt;0",AG41:AG47),0)</f>
        <v>0</v>
      </c>
      <c r="AJ42" s="338" t="str">
        <f>$AJ$7</f>
        <v>Cons Acum</v>
      </c>
      <c r="AK42" s="339">
        <f>IF((J47+SUM(F$6:F47))&gt;0,SUM(AD$6:AD47)*40000/(J47+SUM(F$6:F47)),0)</f>
        <v>0</v>
      </c>
      <c r="AL42" s="340">
        <f>AL35+AL41</f>
        <v>0</v>
      </c>
      <c r="AM42" s="341" t="str">
        <f>IF(AK41&gt;0,(AK42-AL42)/AL42*100,"")</f>
        <v/>
      </c>
      <c r="AN42" s="50"/>
      <c r="AO42" s="19" t="s">
        <v>9</v>
      </c>
      <c r="AP42" s="20" t="s">
        <v>34</v>
      </c>
      <c r="AQ42" s="20" t="s">
        <v>35</v>
      </c>
      <c r="AR42" s="21" t="s">
        <v>14</v>
      </c>
      <c r="AS42" s="72">
        <f t="shared" si="5"/>
        <v>0</v>
      </c>
      <c r="AT42" s="72">
        <f t="shared" si="6"/>
        <v>0</v>
      </c>
      <c r="AU42" s="72">
        <f t="shared" si="7"/>
        <v>0</v>
      </c>
      <c r="AV42" s="50"/>
      <c r="AW42" s="50"/>
      <c r="AX42" s="50"/>
      <c r="AY42" s="50"/>
      <c r="AZ42" s="16">
        <f t="shared" si="53"/>
        <v>6</v>
      </c>
      <c r="BA42" s="8">
        <f>AI47</f>
        <v>0</v>
      </c>
      <c r="BB42" s="8">
        <f>IF('Liq-Zoot'!$E$31&gt;0,AL43/1000*J47/'Liq-Zoot'!$E$31,0)</f>
        <v>0</v>
      </c>
      <c r="BC42" s="17" t="str">
        <f>IF(BA42&gt;0,(BA42-BB42)/BB42*100,"")</f>
        <v/>
      </c>
      <c r="BD42" s="50"/>
      <c r="BE42" s="50"/>
      <c r="BF42" s="50"/>
    </row>
    <row r="43" spans="1:58" ht="16.5" thickBot="1" x14ac:dyDescent="0.3">
      <c r="A43" s="929"/>
      <c r="B43" s="53" t="str">
        <f t="shared" si="8"/>
        <v/>
      </c>
      <c r="C43" s="375">
        <f t="shared" si="9"/>
        <v>38</v>
      </c>
      <c r="D43" s="395"/>
      <c r="E43" s="396"/>
      <c r="F43" s="397"/>
      <c r="G43" s="395"/>
      <c r="H43" s="404">
        <f t="shared" si="0"/>
        <v>0</v>
      </c>
      <c r="I43" s="421">
        <f>IF($Q$1&gt;0,TGsh!E41*$M$4%+TGsh!F41*(1-$M$4%),0)</f>
        <v>0</v>
      </c>
      <c r="J43" s="411">
        <f t="shared" si="10"/>
        <v>0</v>
      </c>
      <c r="K43" s="298" t="str">
        <f>$K$8</f>
        <v xml:space="preserve">Sel Sem </v>
      </c>
      <c r="L43" s="290">
        <f>SUM(E41:E47)</f>
        <v>0</v>
      </c>
      <c r="M43" s="431">
        <f>IF(J40&gt;0,L43/J40,0)</f>
        <v>0</v>
      </c>
      <c r="N43" s="432">
        <v>0</v>
      </c>
      <c r="O43" s="26"/>
      <c r="P43" s="32"/>
      <c r="Q43" s="32"/>
      <c r="R43" s="315">
        <f t="shared" si="11"/>
        <v>0</v>
      </c>
      <c r="S43" s="320"/>
      <c r="T43" s="32"/>
      <c r="U43" s="321"/>
      <c r="V43" s="35">
        <f t="shared" si="16"/>
        <v>0</v>
      </c>
      <c r="W43" s="306"/>
      <c r="X43" s="306"/>
      <c r="Y43" s="306"/>
      <c r="Z43" s="35">
        <f t="shared" si="17"/>
        <v>0</v>
      </c>
      <c r="AA43" s="367">
        <f t="shared" si="12"/>
        <v>0</v>
      </c>
      <c r="AB43" s="368">
        <f t="shared" si="1"/>
        <v>0</v>
      </c>
      <c r="AC43" s="369">
        <f t="shared" si="13"/>
        <v>0</v>
      </c>
      <c r="AD43" s="327">
        <f t="shared" si="2"/>
        <v>0</v>
      </c>
      <c r="AE43" s="328">
        <f t="shared" si="14"/>
        <v>0</v>
      </c>
      <c r="AF43" s="350">
        <f t="shared" si="48"/>
        <v>0</v>
      </c>
      <c r="AG43" s="29">
        <f t="shared" si="4"/>
        <v>0</v>
      </c>
      <c r="AH43" s="47">
        <f>IF($M$3&gt;0,TGsh!C41*$M$4%+TGsh!D41*(1-$M$4%),0)</f>
        <v>0</v>
      </c>
      <c r="AI43" s="40" t="str">
        <f>$AI$8</f>
        <v>Gr. Guía</v>
      </c>
      <c r="AJ43" s="4" t="str">
        <f>$AJ$8</f>
        <v>Peso Sem</v>
      </c>
      <c r="AK43" s="332">
        <f>IF(SUM($F41:$F47)&gt;0,SUMPRODUCT($F41:$F47,H41:H47)/SUM($F41:$F47),0)</f>
        <v>0</v>
      </c>
      <c r="AL43" s="42">
        <f>IF($Q$1&gt;0,I47,0)</f>
        <v>0</v>
      </c>
      <c r="AM43" s="9" t="str">
        <f>IF(AK43&gt;0,(AK43-AL43)/AL43*100,"")</f>
        <v/>
      </c>
      <c r="AN43" s="50"/>
      <c r="AO43" s="14">
        <v>1</v>
      </c>
      <c r="AP43" s="3">
        <f>AK12</f>
        <v>0</v>
      </c>
      <c r="AQ43" s="3">
        <f t="shared" ref="AQ43:AR43" si="58">AL12</f>
        <v>0</v>
      </c>
      <c r="AR43" s="15" t="str">
        <f t="shared" si="58"/>
        <v/>
      </c>
      <c r="AS43" s="72">
        <f t="shared" si="5"/>
        <v>0</v>
      </c>
      <c r="AT43" s="72">
        <f t="shared" si="6"/>
        <v>0</v>
      </c>
      <c r="AU43" s="72">
        <f t="shared" si="7"/>
        <v>0</v>
      </c>
      <c r="AV43" s="50"/>
      <c r="AW43" s="50"/>
      <c r="AX43" s="50"/>
      <c r="AY43" s="50"/>
      <c r="AZ43" s="16">
        <f t="shared" si="53"/>
        <v>7</v>
      </c>
      <c r="BA43" s="8">
        <f>AI54</f>
        <v>0</v>
      </c>
      <c r="BB43" s="8">
        <f>IF('Liq-Zoot'!$E$31&gt;0,AL50/1000*J54/'Liq-Zoot'!$E$31,0)</f>
        <v>0</v>
      </c>
      <c r="BC43" s="17" t="str">
        <f>IF(BA43&gt;0,(BA43-BB43)/BB43*100,"")</f>
        <v/>
      </c>
      <c r="BD43" s="50"/>
      <c r="BE43" s="50"/>
      <c r="BF43" s="50"/>
    </row>
    <row r="44" spans="1:58" ht="16.5" thickBot="1" x14ac:dyDescent="0.3">
      <c r="A44" s="929"/>
      <c r="B44" s="53" t="str">
        <f t="shared" si="8"/>
        <v/>
      </c>
      <c r="C44" s="375">
        <f t="shared" si="9"/>
        <v>39</v>
      </c>
      <c r="D44" s="395"/>
      <c r="E44" s="396"/>
      <c r="F44" s="397"/>
      <c r="G44" s="395"/>
      <c r="H44" s="404">
        <f t="shared" si="0"/>
        <v>0</v>
      </c>
      <c r="I44" s="421">
        <f>IF($Q$1&gt;0,TGsh!E42*$M$4%+TGsh!F42*(1-$M$4%),0)</f>
        <v>0</v>
      </c>
      <c r="J44" s="411">
        <f t="shared" si="10"/>
        <v>0</v>
      </c>
      <c r="K44" s="299" t="str">
        <f>$K$9</f>
        <v xml:space="preserve">Mort + Sel Sem </v>
      </c>
      <c r="L44" s="291">
        <f>SUM(L42:L43)</f>
        <v>0</v>
      </c>
      <c r="M44" s="433">
        <f>IF(J40&gt;0,L44/J40,0)</f>
        <v>0</v>
      </c>
      <c r="N44" s="434">
        <f t="shared" ref="N44" ca="1" si="59">SUM(N42:N43)</f>
        <v>0</v>
      </c>
      <c r="O44" s="26"/>
      <c r="P44" s="32"/>
      <c r="Q44" s="32"/>
      <c r="R44" s="315">
        <f t="shared" si="11"/>
        <v>0</v>
      </c>
      <c r="S44" s="320"/>
      <c r="T44" s="32"/>
      <c r="U44" s="321"/>
      <c r="V44" s="35">
        <f t="shared" si="16"/>
        <v>0</v>
      </c>
      <c r="W44" s="306"/>
      <c r="X44" s="306"/>
      <c r="Y44" s="306"/>
      <c r="Z44" s="35">
        <f t="shared" si="17"/>
        <v>0</v>
      </c>
      <c r="AA44" s="367">
        <f t="shared" si="12"/>
        <v>0</v>
      </c>
      <c r="AB44" s="368">
        <f t="shared" si="1"/>
        <v>0</v>
      </c>
      <c r="AC44" s="369">
        <f t="shared" si="13"/>
        <v>0</v>
      </c>
      <c r="AD44" s="327">
        <f t="shared" si="2"/>
        <v>0</v>
      </c>
      <c r="AE44" s="328">
        <f t="shared" si="14"/>
        <v>0</v>
      </c>
      <c r="AF44" s="350">
        <f t="shared" si="48"/>
        <v>0</v>
      </c>
      <c r="AG44" s="29">
        <f t="shared" si="4"/>
        <v>0</v>
      </c>
      <c r="AH44" s="47">
        <f>IF($M$3&gt;0,TGsh!C42*$M$4%+TGsh!D42*(1-$M$4%),0)</f>
        <v>0</v>
      </c>
      <c r="AI44" s="337">
        <f>IF(SUM(AD41:AD47)&gt;0,AVERAGEIF(AD41:AD47,"&gt;0",AH41:AH47),0)</f>
        <v>0</v>
      </c>
      <c r="AJ44" s="5" t="str">
        <f t="shared" ref="AJ44" si="60">AJ37</f>
        <v>Gan Dia</v>
      </c>
      <c r="AK44" s="6">
        <f>IF(AND(AK36&gt;0,AK43&gt;0),(AK43-AK36)/(COUNTIF(AD41:AD47,"&gt;0")),0)</f>
        <v>0</v>
      </c>
      <c r="AL44" s="43">
        <f>IF(AND(AL36&gt;0,AL43&gt;0,COUNTIF(AD41:AD47,"&gt;0")),(AL43-AL36)/COUNTIF(AD41:AD47,"&gt;0"),0)</f>
        <v>0</v>
      </c>
      <c r="AM44" s="10" t="str">
        <f>IF(AK44&gt;0,(AK44-AL44)/AL44*100,"")</f>
        <v/>
      </c>
      <c r="AN44" s="354"/>
      <c r="AO44" s="16">
        <f>AO43+1</f>
        <v>2</v>
      </c>
      <c r="AP44" s="8">
        <f>AK19</f>
        <v>0</v>
      </c>
      <c r="AQ44" s="8">
        <f t="shared" ref="AQ44:AR44" si="61">AL19</f>
        <v>0</v>
      </c>
      <c r="AR44" s="17" t="str">
        <f t="shared" si="61"/>
        <v/>
      </c>
      <c r="AS44" s="72">
        <f t="shared" si="5"/>
        <v>0</v>
      </c>
      <c r="AT44" s="72">
        <f t="shared" si="6"/>
        <v>0</v>
      </c>
      <c r="AU44" s="72">
        <f t="shared" si="7"/>
        <v>0</v>
      </c>
      <c r="AV44" s="50"/>
      <c r="AW44" s="50"/>
      <c r="AX44" s="50"/>
      <c r="AY44" s="50"/>
      <c r="AZ44" s="18">
        <f t="shared" si="53"/>
        <v>8</v>
      </c>
      <c r="BA44" s="22">
        <f>AI61</f>
        <v>0</v>
      </c>
      <c r="BB44" s="22">
        <f>IF('Liq-Zoot'!$E$31&gt;0,AL57/1000*J61/'Liq-Zoot'!$E$31,0)</f>
        <v>0</v>
      </c>
      <c r="BC44" s="23" t="str">
        <f t="shared" si="50"/>
        <v/>
      </c>
      <c r="BD44" s="50"/>
      <c r="BE44" s="50"/>
      <c r="BF44" s="50"/>
    </row>
    <row r="45" spans="1:58" ht="15.75" customHeight="1" x14ac:dyDescent="0.25">
      <c r="A45" s="929"/>
      <c r="B45" s="53" t="str">
        <f t="shared" si="8"/>
        <v/>
      </c>
      <c r="C45" s="375">
        <f t="shared" si="9"/>
        <v>40</v>
      </c>
      <c r="D45" s="395"/>
      <c r="E45" s="396"/>
      <c r="F45" s="397"/>
      <c r="G45" s="395"/>
      <c r="H45" s="404">
        <f t="shared" si="0"/>
        <v>0</v>
      </c>
      <c r="I45" s="421">
        <f>IF($Q$1&gt;0,TGsh!E43*$M$4%+TGsh!F43*(1-$M$4%),0)</f>
        <v>0</v>
      </c>
      <c r="J45" s="411">
        <f t="shared" si="10"/>
        <v>0</v>
      </c>
      <c r="K45" s="300" t="str">
        <f>$K$10</f>
        <v xml:space="preserve">Mort Acum </v>
      </c>
      <c r="L45" s="292">
        <f>L42+L38</f>
        <v>0</v>
      </c>
      <c r="M45" s="435">
        <f>IF($M$3&gt;0,L45/$M$3,0)</f>
        <v>0</v>
      </c>
      <c r="N45" s="436">
        <f ca="1">TGsh!H45</f>
        <v>0</v>
      </c>
      <c r="O45" s="26"/>
      <c r="P45" s="32"/>
      <c r="Q45" s="32"/>
      <c r="R45" s="315">
        <f t="shared" si="11"/>
        <v>0</v>
      </c>
      <c r="S45" s="320"/>
      <c r="T45" s="32"/>
      <c r="U45" s="321"/>
      <c r="V45" s="35">
        <f t="shared" si="16"/>
        <v>0</v>
      </c>
      <c r="W45" s="306"/>
      <c r="X45" s="306"/>
      <c r="Y45" s="306"/>
      <c r="Z45" s="35">
        <f t="shared" si="17"/>
        <v>0</v>
      </c>
      <c r="AA45" s="367">
        <f t="shared" si="12"/>
        <v>0</v>
      </c>
      <c r="AB45" s="368">
        <f t="shared" si="1"/>
        <v>0</v>
      </c>
      <c r="AC45" s="369">
        <f t="shared" si="13"/>
        <v>0</v>
      </c>
      <c r="AD45" s="327">
        <f t="shared" si="2"/>
        <v>0</v>
      </c>
      <c r="AE45" s="328">
        <f t="shared" si="14"/>
        <v>0</v>
      </c>
      <c r="AF45" s="350">
        <f t="shared" si="48"/>
        <v>0</v>
      </c>
      <c r="AG45" s="29">
        <f t="shared" si="4"/>
        <v>0</v>
      </c>
      <c r="AH45" s="47">
        <f>IF($M$3&gt;0,TGsh!C43*$M$4%+TGsh!D43*(1-$M$4%),0)</f>
        <v>0</v>
      </c>
      <c r="AI45" s="891" t="s">
        <v>46</v>
      </c>
      <c r="AJ45" s="7" t="str">
        <f>$AJ$10</f>
        <v>Conversión</v>
      </c>
      <c r="AK45" s="13">
        <f>IF(AK43&gt;0,AK42/AK43,0)</f>
        <v>0</v>
      </c>
      <c r="AL45" s="44">
        <f>IF(AL43&gt;0,AL42/AL43,0)</f>
        <v>0</v>
      </c>
      <c r="AM45" s="11" t="str">
        <f>IF(AK43&gt;0,-(AK45-AL45)/AL45*100,"")</f>
        <v/>
      </c>
      <c r="AN45" s="50"/>
      <c r="AO45" s="16">
        <f t="shared" ref="AO45:AO50" si="62">AO44+1</f>
        <v>3</v>
      </c>
      <c r="AP45" s="8">
        <f>AK26</f>
        <v>0</v>
      </c>
      <c r="AQ45" s="8">
        <f t="shared" ref="AQ45:AR45" si="63">AL26</f>
        <v>0</v>
      </c>
      <c r="AR45" s="17" t="str">
        <f t="shared" si="63"/>
        <v/>
      </c>
      <c r="AS45" s="72">
        <f t="shared" si="5"/>
        <v>0</v>
      </c>
      <c r="AT45" s="72">
        <f t="shared" si="6"/>
        <v>0</v>
      </c>
      <c r="AU45" s="72">
        <f t="shared" si="7"/>
        <v>0</v>
      </c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</row>
    <row r="46" spans="1:58" ht="15.75" x14ac:dyDescent="0.25">
      <c r="A46" s="929"/>
      <c r="B46" s="53" t="str">
        <f t="shared" si="8"/>
        <v/>
      </c>
      <c r="C46" s="375">
        <f t="shared" si="9"/>
        <v>41</v>
      </c>
      <c r="D46" s="395"/>
      <c r="E46" s="396"/>
      <c r="F46" s="397"/>
      <c r="G46" s="409"/>
      <c r="H46" s="405">
        <f t="shared" si="0"/>
        <v>0</v>
      </c>
      <c r="I46" s="420">
        <f>IF($Q$1&gt;0,TGsh!E44*$M$4%+TGsh!F44*(1-$M$4%),0)</f>
        <v>0</v>
      </c>
      <c r="J46" s="412">
        <f t="shared" si="10"/>
        <v>0</v>
      </c>
      <c r="K46" s="298" t="str">
        <f>$K$11</f>
        <v xml:space="preserve">Sel Acum </v>
      </c>
      <c r="L46" s="290">
        <f>L43+L39</f>
        <v>0</v>
      </c>
      <c r="M46" s="431">
        <f>IF($M$3&gt;0,L46/$M$3,0)</f>
        <v>0</v>
      </c>
      <c r="N46" s="437">
        <f t="shared" ref="N46" si="64">N43+N39</f>
        <v>0</v>
      </c>
      <c r="O46" s="26"/>
      <c r="P46" s="32"/>
      <c r="Q46" s="32"/>
      <c r="R46" s="315">
        <f t="shared" si="11"/>
        <v>0</v>
      </c>
      <c r="S46" s="320"/>
      <c r="T46" s="32"/>
      <c r="U46" s="321"/>
      <c r="V46" s="35">
        <f t="shared" si="16"/>
        <v>0</v>
      </c>
      <c r="W46" s="306"/>
      <c r="X46" s="32"/>
      <c r="Y46" s="306"/>
      <c r="Z46" s="35">
        <f t="shared" si="17"/>
        <v>0</v>
      </c>
      <c r="AA46" s="367">
        <f t="shared" si="12"/>
        <v>0</v>
      </c>
      <c r="AB46" s="368">
        <f t="shared" si="1"/>
        <v>0</v>
      </c>
      <c r="AC46" s="369">
        <f t="shared" si="13"/>
        <v>0</v>
      </c>
      <c r="AD46" s="327">
        <f t="shared" si="2"/>
        <v>0</v>
      </c>
      <c r="AE46" s="328">
        <f t="shared" si="14"/>
        <v>0</v>
      </c>
      <c r="AF46" s="350">
        <f t="shared" si="48"/>
        <v>0</v>
      </c>
      <c r="AG46" s="29">
        <f t="shared" si="4"/>
        <v>0</v>
      </c>
      <c r="AH46" s="47">
        <f>IF($M$3&gt;0,TGsh!C44*$M$4%+TGsh!D44*(1-$M$4%),0)</f>
        <v>0</v>
      </c>
      <c r="AI46" s="892"/>
      <c r="AJ46" s="7" t="str">
        <f>$AJ$11</f>
        <v>Ef. Alim</v>
      </c>
      <c r="AK46" s="12">
        <f>IF(AK45&gt;0,AK43/AK45/10,0)</f>
        <v>0</v>
      </c>
      <c r="AL46" s="45">
        <f>IF(AL45&gt;0,AL43/AL45/10,0)</f>
        <v>0</v>
      </c>
      <c r="AM46" s="11" t="str">
        <f>IF(AK46&gt;0,(AK46-AL46)/AL46*100,"")</f>
        <v/>
      </c>
      <c r="AN46" s="50"/>
      <c r="AO46" s="16">
        <f t="shared" si="62"/>
        <v>4</v>
      </c>
      <c r="AP46" s="8">
        <f>AK33</f>
        <v>0</v>
      </c>
      <c r="AQ46" s="8">
        <f t="shared" ref="AQ46:AR46" si="65">AL33</f>
        <v>0</v>
      </c>
      <c r="AR46" s="17" t="str">
        <f t="shared" si="65"/>
        <v/>
      </c>
      <c r="AS46" s="72">
        <f t="shared" si="5"/>
        <v>0</v>
      </c>
      <c r="AT46" s="72">
        <f t="shared" si="6"/>
        <v>0</v>
      </c>
      <c r="AU46" s="72">
        <f t="shared" si="7"/>
        <v>0</v>
      </c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</row>
    <row r="47" spans="1:58" ht="16.5" thickBot="1" x14ac:dyDescent="0.3">
      <c r="A47" s="930"/>
      <c r="B47" s="54" t="str">
        <f t="shared" si="8"/>
        <v/>
      </c>
      <c r="C47" s="376">
        <f t="shared" si="9"/>
        <v>42</v>
      </c>
      <c r="D47" s="400"/>
      <c r="E47" s="401"/>
      <c r="F47" s="402"/>
      <c r="G47" s="400"/>
      <c r="H47" s="406">
        <f t="shared" si="0"/>
        <v>0</v>
      </c>
      <c r="I47" s="419">
        <f>IF($Q$1&gt;0,TGsh!E45*$M$4%+TGsh!F45*(1-$M$4%),0)</f>
        <v>0</v>
      </c>
      <c r="J47" s="56">
        <f t="shared" si="10"/>
        <v>0</v>
      </c>
      <c r="K47" s="301" t="str">
        <f>$K$12</f>
        <v xml:space="preserve">Mort + Sel Acum </v>
      </c>
      <c r="L47" s="293">
        <f>L44+L40</f>
        <v>0</v>
      </c>
      <c r="M47" s="438">
        <f>IF($M$3&gt;0,L47/$M$3,0)</f>
        <v>0</v>
      </c>
      <c r="N47" s="439">
        <f t="shared" ref="N47" ca="1" si="66">SUM(N45:N46)</f>
        <v>0</v>
      </c>
      <c r="O47" s="27"/>
      <c r="P47" s="33"/>
      <c r="Q47" s="33"/>
      <c r="R47" s="316">
        <f t="shared" si="11"/>
        <v>0</v>
      </c>
      <c r="S47" s="322"/>
      <c r="T47" s="33"/>
      <c r="U47" s="323"/>
      <c r="V47" s="324">
        <f t="shared" si="16"/>
        <v>0</v>
      </c>
      <c r="W47" s="307"/>
      <c r="X47" s="33"/>
      <c r="Y47" s="33"/>
      <c r="Z47" s="36">
        <f t="shared" si="17"/>
        <v>0</v>
      </c>
      <c r="AA47" s="370">
        <f t="shared" si="12"/>
        <v>0</v>
      </c>
      <c r="AB47" s="371">
        <f t="shared" si="1"/>
        <v>0</v>
      </c>
      <c r="AC47" s="372">
        <f t="shared" si="13"/>
        <v>0</v>
      </c>
      <c r="AD47" s="351">
        <f t="shared" si="2"/>
        <v>0</v>
      </c>
      <c r="AE47" s="502">
        <f t="shared" si="14"/>
        <v>0</v>
      </c>
      <c r="AF47" s="352">
        <f t="shared" si="48"/>
        <v>0</v>
      </c>
      <c r="AG47" s="30">
        <f t="shared" si="4"/>
        <v>0</v>
      </c>
      <c r="AH47" s="48">
        <f>IF($M$3&gt;0,TGsh!C45*$M$4%+TGsh!D45*(1-$M$4%),0)</f>
        <v>0</v>
      </c>
      <c r="AI47" s="342">
        <f>IF('Liq-Zoot'!$F$31&gt;0,AK43/1000*J47/'Liq-Zoot'!$F$31,0)</f>
        <v>0</v>
      </c>
      <c r="AJ47" s="343" t="str">
        <f>$AJ$12</f>
        <v>Fact. IP</v>
      </c>
      <c r="AK47" s="344">
        <f>IF(AK45&gt;0,AK46/AK45,0)</f>
        <v>0</v>
      </c>
      <c r="AL47" s="345">
        <f>IF(AL45&gt;0,AL46/AL45,0)</f>
        <v>0</v>
      </c>
      <c r="AM47" s="346" t="str">
        <f>IF(AK47&gt;0,(AK47-AL47)/AL47*100,"")</f>
        <v/>
      </c>
      <c r="AN47" s="50"/>
      <c r="AO47" s="16">
        <f t="shared" si="62"/>
        <v>5</v>
      </c>
      <c r="AP47" s="8">
        <f>AK40</f>
        <v>0</v>
      </c>
      <c r="AQ47" s="8">
        <f t="shared" ref="AQ47:AR47" si="67">AL40</f>
        <v>0</v>
      </c>
      <c r="AR47" s="17" t="str">
        <f t="shared" si="67"/>
        <v/>
      </c>
      <c r="AS47" s="72">
        <f t="shared" si="5"/>
        <v>0</v>
      </c>
      <c r="AT47" s="72">
        <f t="shared" si="6"/>
        <v>0</v>
      </c>
      <c r="AU47" s="72">
        <f t="shared" si="7"/>
        <v>0</v>
      </c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</row>
    <row r="48" spans="1:58" ht="15.75" customHeight="1" x14ac:dyDescent="0.25">
      <c r="A48" s="928" t="s">
        <v>26</v>
      </c>
      <c r="B48" s="52" t="str">
        <f t="shared" si="8"/>
        <v/>
      </c>
      <c r="C48" s="374">
        <f t="shared" si="9"/>
        <v>43</v>
      </c>
      <c r="D48" s="392"/>
      <c r="E48" s="393"/>
      <c r="F48" s="394"/>
      <c r="G48" s="392"/>
      <c r="H48" s="403">
        <f t="shared" si="0"/>
        <v>0</v>
      </c>
      <c r="I48" s="418">
        <f>IF($Q$1&gt;0,TGsh!E46*$M$4%+TGsh!F46*(1-$M$4%),0)</f>
        <v>0</v>
      </c>
      <c r="J48" s="55">
        <f t="shared" si="10"/>
        <v>0</v>
      </c>
      <c r="K48" s="294" t="str">
        <f>$K$6</f>
        <v>Item</v>
      </c>
      <c r="L48" s="295" t="str">
        <f>$L$6</f>
        <v>#</v>
      </c>
      <c r="M48" s="295" t="str">
        <f>$M$6</f>
        <v>Real %</v>
      </c>
      <c r="N48" s="296" t="str">
        <f t="shared" ref="N48" si="68">$N$6</f>
        <v>Guia %</v>
      </c>
      <c r="O48" s="25"/>
      <c r="P48" s="31"/>
      <c r="Q48" s="31"/>
      <c r="R48" s="314">
        <f t="shared" si="11"/>
        <v>0</v>
      </c>
      <c r="S48" s="318"/>
      <c r="T48" s="31"/>
      <c r="U48" s="319"/>
      <c r="V48" s="34">
        <f t="shared" si="16"/>
        <v>0</v>
      </c>
      <c r="W48" s="305"/>
      <c r="X48" s="31"/>
      <c r="Y48" s="31"/>
      <c r="Z48" s="34">
        <f t="shared" si="17"/>
        <v>0</v>
      </c>
      <c r="AA48" s="364">
        <f t="shared" si="12"/>
        <v>0</v>
      </c>
      <c r="AB48" s="365">
        <f t="shared" si="1"/>
        <v>0</v>
      </c>
      <c r="AC48" s="366">
        <f t="shared" si="13"/>
        <v>0</v>
      </c>
      <c r="AD48" s="325">
        <f t="shared" si="2"/>
        <v>0</v>
      </c>
      <c r="AE48" s="326">
        <f t="shared" si="14"/>
        <v>0</v>
      </c>
      <c r="AF48" s="349">
        <f t="shared" si="48"/>
        <v>0</v>
      </c>
      <c r="AG48" s="28">
        <f t="shared" si="4"/>
        <v>0</v>
      </c>
      <c r="AH48" s="46">
        <f>IF($M$3&gt;0,TGsh!C46*$M$4%+TGsh!D46*(1-$M$4%),0)</f>
        <v>0</v>
      </c>
      <c r="AI48" s="347" t="str">
        <f>$AI$6</f>
        <v>Gr. Obten.</v>
      </c>
      <c r="AJ48" s="335" t="str">
        <f>$AJ$6</f>
        <v>Cons Sem</v>
      </c>
      <c r="AK48" s="3">
        <f>IF((J54+SUM(F48:F54))&gt;0,SUM(AD48:AD54)*40000/(J54+SUM(F48:F54)),0)</f>
        <v>0</v>
      </c>
      <c r="AL48" s="41">
        <f>SUMIF($AD48:$AD54,"&gt;0",AH48:AH54)</f>
        <v>0</v>
      </c>
      <c r="AM48" s="336" t="str">
        <f>IF(AK48&gt;0,(AK48-AL48)/AL48*100,"")</f>
        <v/>
      </c>
      <c r="AN48" s="50"/>
      <c r="AO48" s="16">
        <f t="shared" si="62"/>
        <v>6</v>
      </c>
      <c r="AP48" s="8">
        <f>AK47</f>
        <v>0</v>
      </c>
      <c r="AQ48" s="8">
        <f t="shared" ref="AQ48:AR48" si="69">AL47</f>
        <v>0</v>
      </c>
      <c r="AR48" s="17" t="str">
        <f t="shared" si="69"/>
        <v/>
      </c>
      <c r="AS48" s="72">
        <f t="shared" si="5"/>
        <v>0</v>
      </c>
      <c r="AT48" s="72">
        <f t="shared" si="6"/>
        <v>0</v>
      </c>
      <c r="AU48" s="72">
        <f t="shared" si="7"/>
        <v>0</v>
      </c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1"/>
    </row>
    <row r="49" spans="1:58" ht="16.5" thickBot="1" x14ac:dyDescent="0.3">
      <c r="A49" s="929"/>
      <c r="B49" s="53" t="str">
        <f t="shared" si="8"/>
        <v/>
      </c>
      <c r="C49" s="375">
        <f t="shared" si="9"/>
        <v>44</v>
      </c>
      <c r="D49" s="395"/>
      <c r="E49" s="396"/>
      <c r="F49" s="397"/>
      <c r="G49" s="395"/>
      <c r="H49" s="404">
        <f t="shared" si="0"/>
        <v>0</v>
      </c>
      <c r="I49" s="421">
        <f>IF($Q$1&gt;0,TGsh!E47*$M$4%+TGsh!F47*(1-$M$4%),0)</f>
        <v>0</v>
      </c>
      <c r="J49" s="411">
        <f t="shared" si="10"/>
        <v>0</v>
      </c>
      <c r="K49" s="297" t="str">
        <f>$K$7</f>
        <v xml:space="preserve">Mort Sem </v>
      </c>
      <c r="L49" s="289">
        <f>SUM(D48:D54)</f>
        <v>0</v>
      </c>
      <c r="M49" s="429">
        <f>IF(J47&gt;0,L49/J47,0)</f>
        <v>0</v>
      </c>
      <c r="N49" s="430">
        <f ca="1">SUM(TGsh!G46:G52)</f>
        <v>0</v>
      </c>
      <c r="O49" s="26"/>
      <c r="P49" s="32"/>
      <c r="Q49" s="32"/>
      <c r="R49" s="315">
        <f t="shared" si="11"/>
        <v>0</v>
      </c>
      <c r="S49" s="320"/>
      <c r="T49" s="32"/>
      <c r="U49" s="321"/>
      <c r="V49" s="35">
        <f t="shared" si="16"/>
        <v>0</v>
      </c>
      <c r="W49" s="306"/>
      <c r="X49" s="32"/>
      <c r="Y49" s="32"/>
      <c r="Z49" s="35">
        <f t="shared" si="17"/>
        <v>0</v>
      </c>
      <c r="AA49" s="367">
        <f t="shared" si="12"/>
        <v>0</v>
      </c>
      <c r="AB49" s="368">
        <f t="shared" si="1"/>
        <v>0</v>
      </c>
      <c r="AC49" s="369">
        <f t="shared" si="13"/>
        <v>0</v>
      </c>
      <c r="AD49" s="327">
        <f t="shared" si="2"/>
        <v>0</v>
      </c>
      <c r="AE49" s="328">
        <f t="shared" si="14"/>
        <v>0</v>
      </c>
      <c r="AF49" s="350">
        <f t="shared" si="48"/>
        <v>0</v>
      </c>
      <c r="AG49" s="29">
        <f t="shared" si="4"/>
        <v>0</v>
      </c>
      <c r="AH49" s="47">
        <f>IF($M$3&gt;0,TGsh!C47*$M$4%+TGsh!D47*(1-$M$4%),0)</f>
        <v>0</v>
      </c>
      <c r="AI49" s="337">
        <f>IF(SUM(AD48:AD54)&gt;0,AVERAGEIF(AD48:AD54,"&gt;0",AG48:AG54),0)</f>
        <v>0</v>
      </c>
      <c r="AJ49" s="338" t="str">
        <f>$AJ$7</f>
        <v>Cons Acum</v>
      </c>
      <c r="AK49" s="339">
        <f>IF((J54+SUM(F$6:F54))&gt;0,SUM(AD$6:AD54)*40000/(J54+SUM(F$6:F54)),0)</f>
        <v>0</v>
      </c>
      <c r="AL49" s="340">
        <f>AL42+AL48</f>
        <v>0</v>
      </c>
      <c r="AM49" s="341" t="str">
        <f>IF(AK48&gt;0,(AK49-AL49)/AL49*100,"")</f>
        <v/>
      </c>
      <c r="AN49" s="50"/>
      <c r="AO49" s="16">
        <f t="shared" si="62"/>
        <v>7</v>
      </c>
      <c r="AP49" s="8">
        <f>AK54</f>
        <v>0</v>
      </c>
      <c r="AQ49" s="8">
        <f t="shared" ref="AQ49:AR49" si="70">AL54</f>
        <v>0</v>
      </c>
      <c r="AR49" s="17" t="str">
        <f t="shared" si="70"/>
        <v/>
      </c>
      <c r="AS49" s="72">
        <f t="shared" si="5"/>
        <v>0</v>
      </c>
      <c r="AT49" s="72">
        <f t="shared" si="6"/>
        <v>0</v>
      </c>
      <c r="AU49" s="72">
        <f t="shared" si="7"/>
        <v>0</v>
      </c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1"/>
    </row>
    <row r="50" spans="1:58" ht="16.5" thickBot="1" x14ac:dyDescent="0.3">
      <c r="A50" s="929"/>
      <c r="B50" s="53" t="str">
        <f t="shared" si="8"/>
        <v/>
      </c>
      <c r="C50" s="375">
        <f t="shared" si="9"/>
        <v>45</v>
      </c>
      <c r="D50" s="395"/>
      <c r="E50" s="396"/>
      <c r="F50" s="397"/>
      <c r="G50" s="395"/>
      <c r="H50" s="404">
        <f t="shared" si="0"/>
        <v>0</v>
      </c>
      <c r="I50" s="421">
        <f>IF($Q$1&gt;0,TGsh!E48*$M$4%+TGsh!F48*(1-$M$4%),0)</f>
        <v>0</v>
      </c>
      <c r="J50" s="411">
        <f t="shared" si="10"/>
        <v>0</v>
      </c>
      <c r="K50" s="298" t="str">
        <f>$K$8</f>
        <v xml:space="preserve">Sel Sem </v>
      </c>
      <c r="L50" s="290">
        <f>SUM(E48:E54)</f>
        <v>0</v>
      </c>
      <c r="M50" s="431">
        <f>IF(J47&gt;0,L50/J47,0)</f>
        <v>0</v>
      </c>
      <c r="N50" s="432">
        <v>0</v>
      </c>
      <c r="O50" s="26"/>
      <c r="P50" s="32"/>
      <c r="Q50" s="32"/>
      <c r="R50" s="315">
        <f t="shared" si="11"/>
        <v>0</v>
      </c>
      <c r="S50" s="320"/>
      <c r="T50" s="32"/>
      <c r="U50" s="321"/>
      <c r="V50" s="35">
        <f t="shared" si="16"/>
        <v>0</v>
      </c>
      <c r="W50" s="306"/>
      <c r="X50" s="32"/>
      <c r="Y50" s="32"/>
      <c r="Z50" s="35">
        <f t="shared" si="17"/>
        <v>0</v>
      </c>
      <c r="AA50" s="367">
        <f t="shared" si="12"/>
        <v>0</v>
      </c>
      <c r="AB50" s="368">
        <f t="shared" si="1"/>
        <v>0</v>
      </c>
      <c r="AC50" s="369">
        <f t="shared" si="13"/>
        <v>0</v>
      </c>
      <c r="AD50" s="327">
        <f t="shared" si="2"/>
        <v>0</v>
      </c>
      <c r="AE50" s="328">
        <f t="shared" si="14"/>
        <v>0</v>
      </c>
      <c r="AF50" s="350">
        <f t="shared" si="48"/>
        <v>0</v>
      </c>
      <c r="AG50" s="29">
        <f t="shared" si="4"/>
        <v>0</v>
      </c>
      <c r="AH50" s="47">
        <f>IF($M$3&gt;0,TGsh!C48*$M$4%+TGsh!D48*(1-$M$4%),0)</f>
        <v>0</v>
      </c>
      <c r="AI50" s="40" t="str">
        <f>$AI$8</f>
        <v>Gr. Guía</v>
      </c>
      <c r="AJ50" s="4" t="str">
        <f>$AJ$8</f>
        <v>Peso Sem</v>
      </c>
      <c r="AK50" s="332">
        <f>IF(SUM($F48:$F54)&gt;0,SUMPRODUCT($F48:$F54,H48:H54)/SUM($F48:$F54),0)</f>
        <v>0</v>
      </c>
      <c r="AL50" s="42">
        <f>IF($Q$1&gt;0,I54,0)</f>
        <v>0</v>
      </c>
      <c r="AM50" s="9" t="str">
        <f>IF(AK50&gt;0,(AK50-AL50)/AL50*100,"")</f>
        <v/>
      </c>
      <c r="AN50" s="50"/>
      <c r="AO50" s="18">
        <f t="shared" si="62"/>
        <v>8</v>
      </c>
      <c r="AP50" s="22">
        <f>AK61</f>
        <v>0</v>
      </c>
      <c r="AQ50" s="22">
        <f t="shared" ref="AQ50:AR50" si="71">AL61</f>
        <v>0</v>
      </c>
      <c r="AR50" s="23" t="str">
        <f t="shared" si="71"/>
        <v/>
      </c>
      <c r="AS50" s="72">
        <f t="shared" si="5"/>
        <v>0</v>
      </c>
      <c r="AT50" s="72">
        <f t="shared" si="6"/>
        <v>0</v>
      </c>
      <c r="AU50" s="72">
        <f t="shared" si="7"/>
        <v>0</v>
      </c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1"/>
    </row>
    <row r="51" spans="1:58" ht="15.75" x14ac:dyDescent="0.25">
      <c r="A51" s="929"/>
      <c r="B51" s="53" t="str">
        <f t="shared" si="8"/>
        <v/>
      </c>
      <c r="C51" s="375">
        <f t="shared" si="9"/>
        <v>46</v>
      </c>
      <c r="D51" s="395"/>
      <c r="E51" s="396"/>
      <c r="F51" s="397"/>
      <c r="G51" s="395"/>
      <c r="H51" s="404">
        <f t="shared" si="0"/>
        <v>0</v>
      </c>
      <c r="I51" s="421">
        <f>IF($Q$1&gt;0,TGsh!E49*$M$4%+TGsh!F49*(1-$M$4%),0)</f>
        <v>0</v>
      </c>
      <c r="J51" s="411">
        <f t="shared" si="10"/>
        <v>0</v>
      </c>
      <c r="K51" s="299" t="str">
        <f>$K$9</f>
        <v xml:space="preserve">Mort + Sel Sem </v>
      </c>
      <c r="L51" s="291">
        <f>SUM(L49:L50)</f>
        <v>0</v>
      </c>
      <c r="M51" s="433">
        <f>IF(J47&gt;0,L51/J47,0)</f>
        <v>0</v>
      </c>
      <c r="N51" s="434">
        <f t="shared" ref="N51" ca="1" si="72">SUM(N49:N50)</f>
        <v>0</v>
      </c>
      <c r="O51" s="26"/>
      <c r="P51" s="32"/>
      <c r="Q51" s="32"/>
      <c r="R51" s="315">
        <f t="shared" si="11"/>
        <v>0</v>
      </c>
      <c r="S51" s="320"/>
      <c r="T51" s="32"/>
      <c r="U51" s="321"/>
      <c r="V51" s="35">
        <f t="shared" si="16"/>
        <v>0</v>
      </c>
      <c r="W51" s="306"/>
      <c r="X51" s="32"/>
      <c r="Y51" s="32"/>
      <c r="Z51" s="35">
        <f t="shared" si="17"/>
        <v>0</v>
      </c>
      <c r="AA51" s="367">
        <f t="shared" si="12"/>
        <v>0</v>
      </c>
      <c r="AB51" s="368">
        <f t="shared" si="1"/>
        <v>0</v>
      </c>
      <c r="AC51" s="369">
        <f t="shared" si="13"/>
        <v>0</v>
      </c>
      <c r="AD51" s="327">
        <f t="shared" si="2"/>
        <v>0</v>
      </c>
      <c r="AE51" s="328">
        <f t="shared" si="14"/>
        <v>0</v>
      </c>
      <c r="AF51" s="350">
        <f t="shared" si="48"/>
        <v>0</v>
      </c>
      <c r="AG51" s="29">
        <f t="shared" si="4"/>
        <v>0</v>
      </c>
      <c r="AH51" s="47">
        <f>IF($M$3&gt;0,TGsh!C49*$M$4%+TGsh!D49*(1-$M$4%),0)</f>
        <v>0</v>
      </c>
      <c r="AI51" s="337">
        <f>IF(SUM(AD48:AD54)&gt;0,AVERAGEIF(AD48:AD54,"&gt;0",AH48:AH54),0)</f>
        <v>0</v>
      </c>
      <c r="AJ51" s="5" t="str">
        <f t="shared" ref="AJ51" si="73">AJ44</f>
        <v>Gan Dia</v>
      </c>
      <c r="AK51" s="6">
        <f>IF(AND(AK43&gt;0,AK50&gt;0),(AK50-AK43)/(COUNTIF(AD48:AD54,"&gt;0")),0)</f>
        <v>0</v>
      </c>
      <c r="AL51" s="43">
        <f>IF(AND(AL43&gt;0,AL50&gt;0,COUNTIF(AD48:AD54,"&gt;0")),(AL50-AL43)/COUNTIF(AD48:AD54,"&gt;0"),0)</f>
        <v>0</v>
      </c>
      <c r="AM51" s="10" t="str">
        <f>IF(AK51&gt;0,(AK51-AL51)/AL51*100,"")</f>
        <v/>
      </c>
      <c r="AN51" s="354"/>
      <c r="AO51" s="354"/>
      <c r="AP51" s="50"/>
      <c r="AQ51" s="50"/>
      <c r="AR51" s="50"/>
      <c r="AS51" s="72">
        <f t="shared" si="5"/>
        <v>0</v>
      </c>
      <c r="AT51" s="72">
        <f t="shared" si="6"/>
        <v>0</v>
      </c>
      <c r="AU51" s="72">
        <f t="shared" si="7"/>
        <v>0</v>
      </c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1"/>
    </row>
    <row r="52" spans="1:58" ht="15.75" customHeight="1" x14ac:dyDescent="0.25">
      <c r="A52" s="929"/>
      <c r="B52" s="53" t="str">
        <f t="shared" si="8"/>
        <v/>
      </c>
      <c r="C52" s="375">
        <f t="shared" si="9"/>
        <v>47</v>
      </c>
      <c r="D52" s="395"/>
      <c r="E52" s="396"/>
      <c r="F52" s="397"/>
      <c r="G52" s="395"/>
      <c r="H52" s="404">
        <f t="shared" si="0"/>
        <v>0</v>
      </c>
      <c r="I52" s="421">
        <f>IF($Q$1&gt;0,TGsh!E50*$M$4%+TGsh!F50*(1-$M$4%),0)</f>
        <v>0</v>
      </c>
      <c r="J52" s="411">
        <f t="shared" si="10"/>
        <v>0</v>
      </c>
      <c r="K52" s="300" t="str">
        <f>$K$10</f>
        <v xml:space="preserve">Mort Acum </v>
      </c>
      <c r="L52" s="292">
        <f>L49+L45</f>
        <v>0</v>
      </c>
      <c r="M52" s="435">
        <f>IF($M$3&gt;0,L52/$M$3,0)</f>
        <v>0</v>
      </c>
      <c r="N52" s="436">
        <f ca="1">TGsh!H52</f>
        <v>0</v>
      </c>
      <c r="O52" s="26"/>
      <c r="P52" s="32"/>
      <c r="Q52" s="32"/>
      <c r="R52" s="315">
        <f t="shared" si="11"/>
        <v>0</v>
      </c>
      <c r="S52" s="320"/>
      <c r="T52" s="32"/>
      <c r="U52" s="321"/>
      <c r="V52" s="35">
        <f t="shared" si="16"/>
        <v>0</v>
      </c>
      <c r="W52" s="306"/>
      <c r="X52" s="32"/>
      <c r="Y52" s="32"/>
      <c r="Z52" s="35">
        <f t="shared" si="17"/>
        <v>0</v>
      </c>
      <c r="AA52" s="367">
        <f t="shared" si="12"/>
        <v>0</v>
      </c>
      <c r="AB52" s="368">
        <f t="shared" si="1"/>
        <v>0</v>
      </c>
      <c r="AC52" s="369">
        <f t="shared" si="13"/>
        <v>0</v>
      </c>
      <c r="AD52" s="327">
        <f t="shared" si="2"/>
        <v>0</v>
      </c>
      <c r="AE52" s="328">
        <f t="shared" si="14"/>
        <v>0</v>
      </c>
      <c r="AF52" s="350">
        <f t="shared" si="48"/>
        <v>0</v>
      </c>
      <c r="AG52" s="29">
        <f t="shared" si="4"/>
        <v>0</v>
      </c>
      <c r="AH52" s="47">
        <f>IF($M$3&gt;0,TGsh!C50*$M$4%+TGsh!D50*(1-$M$4%),0)</f>
        <v>0</v>
      </c>
      <c r="AI52" s="891" t="s">
        <v>46</v>
      </c>
      <c r="AJ52" s="7" t="str">
        <f>$AJ$10</f>
        <v>Conversión</v>
      </c>
      <c r="AK52" s="13">
        <f>IF(AK50&gt;0,AK49/AK50,0)</f>
        <v>0</v>
      </c>
      <c r="AL52" s="44">
        <f>IF(AL50&gt;0,AL49/AL50,0)</f>
        <v>0</v>
      </c>
      <c r="AM52" s="11" t="str">
        <f>IF(AK50&gt;0,-(AK52-AL52)/AL52*100,"")</f>
        <v/>
      </c>
      <c r="AN52" s="50"/>
      <c r="AO52" s="50"/>
      <c r="AP52" s="50"/>
      <c r="AQ52" s="50"/>
      <c r="AR52" s="50"/>
      <c r="AS52" s="72">
        <f t="shared" si="5"/>
        <v>0</v>
      </c>
      <c r="AT52" s="72">
        <f t="shared" si="6"/>
        <v>0</v>
      </c>
      <c r="AU52" s="72">
        <f t="shared" si="7"/>
        <v>0</v>
      </c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1"/>
    </row>
    <row r="53" spans="1:58" ht="15.75" x14ac:dyDescent="0.25">
      <c r="A53" s="929"/>
      <c r="B53" s="53" t="str">
        <f t="shared" si="8"/>
        <v/>
      </c>
      <c r="C53" s="375">
        <f t="shared" si="9"/>
        <v>48</v>
      </c>
      <c r="D53" s="395"/>
      <c r="E53" s="396"/>
      <c r="F53" s="397"/>
      <c r="G53" s="409"/>
      <c r="H53" s="405">
        <f t="shared" si="0"/>
        <v>0</v>
      </c>
      <c r="I53" s="420">
        <f>IF($Q$1&gt;0,TGsh!E51*$M$4%+TGsh!F51*(1-$M$4%),0)</f>
        <v>0</v>
      </c>
      <c r="J53" s="412">
        <f t="shared" si="10"/>
        <v>0</v>
      </c>
      <c r="K53" s="298" t="str">
        <f>$K$11</f>
        <v xml:space="preserve">Sel Acum </v>
      </c>
      <c r="L53" s="290">
        <f>L50+L46</f>
        <v>0</v>
      </c>
      <c r="M53" s="431">
        <f>IF($M$3&gt;0,L53/$M$3,0)</f>
        <v>0</v>
      </c>
      <c r="N53" s="437">
        <f t="shared" ref="N53" si="74">N50+N46</f>
        <v>0</v>
      </c>
      <c r="O53" s="26"/>
      <c r="P53" s="32"/>
      <c r="Q53" s="32"/>
      <c r="R53" s="315">
        <f t="shared" si="11"/>
        <v>0</v>
      </c>
      <c r="S53" s="320"/>
      <c r="T53" s="32"/>
      <c r="U53" s="321"/>
      <c r="V53" s="35">
        <f t="shared" si="16"/>
        <v>0</v>
      </c>
      <c r="W53" s="306"/>
      <c r="X53" s="32"/>
      <c r="Y53" s="32"/>
      <c r="Z53" s="35">
        <f t="shared" si="17"/>
        <v>0</v>
      </c>
      <c r="AA53" s="367">
        <f t="shared" si="12"/>
        <v>0</v>
      </c>
      <c r="AB53" s="368">
        <f t="shared" si="1"/>
        <v>0</v>
      </c>
      <c r="AC53" s="369">
        <f t="shared" si="13"/>
        <v>0</v>
      </c>
      <c r="AD53" s="327">
        <f t="shared" si="2"/>
        <v>0</v>
      </c>
      <c r="AE53" s="328">
        <f t="shared" si="14"/>
        <v>0</v>
      </c>
      <c r="AF53" s="350">
        <f t="shared" si="48"/>
        <v>0</v>
      </c>
      <c r="AG53" s="29">
        <f t="shared" si="4"/>
        <v>0</v>
      </c>
      <c r="AH53" s="47">
        <f>IF($M$3&gt;0,TGsh!C51*$M$4%+TGsh!D51*(1-$M$4%),0)</f>
        <v>0</v>
      </c>
      <c r="AI53" s="892"/>
      <c r="AJ53" s="7" t="str">
        <f>$AJ$11</f>
        <v>Ef. Alim</v>
      </c>
      <c r="AK53" s="12">
        <f>IF(AK52&gt;0,AK50/AK52/10,0)</f>
        <v>0</v>
      </c>
      <c r="AL53" s="45">
        <f>IF(AL52&gt;0,AL50/AL52/10,0)</f>
        <v>0</v>
      </c>
      <c r="AM53" s="11" t="str">
        <f>IF(AK53&gt;0,(AK53-AL53)/AL53*100,"")</f>
        <v/>
      </c>
      <c r="AN53" s="50"/>
      <c r="AO53" s="50"/>
      <c r="AP53" s="50"/>
      <c r="AQ53" s="50"/>
      <c r="AR53" s="50"/>
      <c r="AS53" s="72">
        <f t="shared" si="5"/>
        <v>0</v>
      </c>
      <c r="AT53" s="72">
        <f t="shared" si="6"/>
        <v>0</v>
      </c>
      <c r="AU53" s="72">
        <f t="shared" si="7"/>
        <v>0</v>
      </c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1"/>
    </row>
    <row r="54" spans="1:58" ht="16.5" thickBot="1" x14ac:dyDescent="0.3">
      <c r="A54" s="930"/>
      <c r="B54" s="54" t="str">
        <f t="shared" si="8"/>
        <v/>
      </c>
      <c r="C54" s="376">
        <f t="shared" si="9"/>
        <v>49</v>
      </c>
      <c r="D54" s="400"/>
      <c r="E54" s="401"/>
      <c r="F54" s="402"/>
      <c r="G54" s="400"/>
      <c r="H54" s="406">
        <f t="shared" si="0"/>
        <v>0</v>
      </c>
      <c r="I54" s="419">
        <f>IF($Q$1&gt;0,TGsh!E52*$M$4%+TGsh!F52*(1-$M$4%),0)</f>
        <v>0</v>
      </c>
      <c r="J54" s="56">
        <f t="shared" si="10"/>
        <v>0</v>
      </c>
      <c r="K54" s="301" t="str">
        <f>$K$12</f>
        <v xml:space="preserve">Mort + Sel Acum </v>
      </c>
      <c r="L54" s="293">
        <f>L51+L47</f>
        <v>0</v>
      </c>
      <c r="M54" s="438">
        <f>IF($M$3&gt;0,L54/$M$3,0)</f>
        <v>0</v>
      </c>
      <c r="N54" s="439">
        <f t="shared" ref="N54" ca="1" si="75">SUM(N52:N53)</f>
        <v>0</v>
      </c>
      <c r="O54" s="27"/>
      <c r="P54" s="33"/>
      <c r="Q54" s="33"/>
      <c r="R54" s="316">
        <f t="shared" si="11"/>
        <v>0</v>
      </c>
      <c r="S54" s="322"/>
      <c r="T54" s="33"/>
      <c r="U54" s="323"/>
      <c r="V54" s="324">
        <f t="shared" si="16"/>
        <v>0</v>
      </c>
      <c r="W54" s="307"/>
      <c r="X54" s="33"/>
      <c r="Y54" s="33"/>
      <c r="Z54" s="36">
        <f t="shared" si="17"/>
        <v>0</v>
      </c>
      <c r="AA54" s="370">
        <f t="shared" si="12"/>
        <v>0</v>
      </c>
      <c r="AB54" s="371">
        <f t="shared" si="1"/>
        <v>0</v>
      </c>
      <c r="AC54" s="372">
        <f t="shared" si="13"/>
        <v>0</v>
      </c>
      <c r="AD54" s="351">
        <f t="shared" si="2"/>
        <v>0</v>
      </c>
      <c r="AE54" s="502">
        <f t="shared" si="14"/>
        <v>0</v>
      </c>
      <c r="AF54" s="352">
        <f t="shared" si="48"/>
        <v>0</v>
      </c>
      <c r="AG54" s="30">
        <f t="shared" si="4"/>
        <v>0</v>
      </c>
      <c r="AH54" s="48">
        <f>IF($M$3&gt;0,TGsh!C52*$M$4%+TGsh!D52*(1-$M$4%),0)</f>
        <v>0</v>
      </c>
      <c r="AI54" s="342">
        <f>IF('Liq-Zoot'!$F$31&gt;0,AK50/1000*J54/'Liq-Zoot'!$F$31,0)</f>
        <v>0</v>
      </c>
      <c r="AJ54" s="343" t="str">
        <f>$AJ$12</f>
        <v>Fact. IP</v>
      </c>
      <c r="AK54" s="344">
        <f>IF(AK52&gt;0,AK53/AK52,0)</f>
        <v>0</v>
      </c>
      <c r="AL54" s="345">
        <f>IF(AL52&gt;0,AL53/AL52,0)</f>
        <v>0</v>
      </c>
      <c r="AM54" s="346" t="str">
        <f>IF(AK54&gt;0,(AK54-AL54)/AL54*100,"")</f>
        <v/>
      </c>
      <c r="AN54" s="50"/>
      <c r="AO54" s="50"/>
      <c r="AP54" s="50"/>
      <c r="AQ54" s="50"/>
      <c r="AR54" s="50"/>
      <c r="AS54" s="72">
        <f t="shared" si="5"/>
        <v>0</v>
      </c>
      <c r="AT54" s="72">
        <f t="shared" si="6"/>
        <v>0</v>
      </c>
      <c r="AU54" s="72">
        <f t="shared" si="7"/>
        <v>0</v>
      </c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1"/>
    </row>
    <row r="55" spans="1:58" ht="15.75" customHeight="1" x14ac:dyDescent="0.25">
      <c r="A55" s="928" t="s">
        <v>31</v>
      </c>
      <c r="B55" s="52" t="str">
        <f t="shared" si="8"/>
        <v/>
      </c>
      <c r="C55" s="374">
        <f t="shared" si="9"/>
        <v>50</v>
      </c>
      <c r="D55" s="392"/>
      <c r="E55" s="393"/>
      <c r="F55" s="394"/>
      <c r="G55" s="392"/>
      <c r="H55" s="403">
        <f t="shared" si="0"/>
        <v>0</v>
      </c>
      <c r="I55" s="418">
        <f>IF($Q$1&gt;0,TGsh!E53*$M$4%+TGsh!F53*(1-$M$4%),0)</f>
        <v>0</v>
      </c>
      <c r="J55" s="55">
        <f t="shared" si="10"/>
        <v>0</v>
      </c>
      <c r="K55" s="294" t="str">
        <f>$K$6</f>
        <v>Item</v>
      </c>
      <c r="L55" s="295" t="str">
        <f>$L$6</f>
        <v>#</v>
      </c>
      <c r="M55" s="295" t="str">
        <f>$M$6</f>
        <v>Real %</v>
      </c>
      <c r="N55" s="296" t="str">
        <f t="shared" ref="N55" si="76">$N$6</f>
        <v>Guia %</v>
      </c>
      <c r="O55" s="25"/>
      <c r="P55" s="31"/>
      <c r="Q55" s="31"/>
      <c r="R55" s="314">
        <f t="shared" si="11"/>
        <v>0</v>
      </c>
      <c r="S55" s="318"/>
      <c r="T55" s="31"/>
      <c r="U55" s="319"/>
      <c r="V55" s="34">
        <f t="shared" si="16"/>
        <v>0</v>
      </c>
      <c r="W55" s="305"/>
      <c r="X55" s="31"/>
      <c r="Y55" s="31"/>
      <c r="Z55" s="34">
        <f t="shared" si="17"/>
        <v>0</v>
      </c>
      <c r="AA55" s="364">
        <f t="shared" si="12"/>
        <v>0</v>
      </c>
      <c r="AB55" s="365">
        <f t="shared" si="1"/>
        <v>0</v>
      </c>
      <c r="AC55" s="366">
        <f t="shared" si="13"/>
        <v>0</v>
      </c>
      <c r="AD55" s="325">
        <f t="shared" si="2"/>
        <v>0</v>
      </c>
      <c r="AE55" s="326">
        <f t="shared" si="14"/>
        <v>0</v>
      </c>
      <c r="AF55" s="349">
        <f t="shared" si="48"/>
        <v>0</v>
      </c>
      <c r="AG55" s="28">
        <f t="shared" si="4"/>
        <v>0</v>
      </c>
      <c r="AH55" s="46">
        <f>IF($M$3&gt;0,TGsh!C53*$M$4%+TGsh!D53*(1-$M$4%),0)</f>
        <v>0</v>
      </c>
      <c r="AI55" s="347" t="str">
        <f>$AI$6</f>
        <v>Gr. Obten.</v>
      </c>
      <c r="AJ55" s="335" t="str">
        <f>$AJ$6</f>
        <v>Cons Sem</v>
      </c>
      <c r="AK55" s="3">
        <f>IF((J61+SUM(F55:F61))&gt;0,SUM(AD55:AD61)*40000/(J61+SUM(F55:F61)),0)</f>
        <v>0</v>
      </c>
      <c r="AL55" s="41">
        <f>SUMIF($AD55:$AD61,"&gt;0",AH55:AH61)</f>
        <v>0</v>
      </c>
      <c r="AM55" s="336" t="str">
        <f>IF(AK55&gt;0,(AK55-AL55)/AL55*100,"")</f>
        <v/>
      </c>
      <c r="AN55" s="50"/>
      <c r="AO55" s="50"/>
      <c r="AP55" s="50"/>
      <c r="AQ55" s="50"/>
      <c r="AR55" s="50"/>
      <c r="AS55" s="72">
        <f t="shared" si="5"/>
        <v>0</v>
      </c>
      <c r="AT55" s="72">
        <f t="shared" si="6"/>
        <v>0</v>
      </c>
      <c r="AU55" s="72">
        <f t="shared" si="7"/>
        <v>0</v>
      </c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1"/>
    </row>
    <row r="56" spans="1:58" ht="16.5" thickBot="1" x14ac:dyDescent="0.3">
      <c r="A56" s="929"/>
      <c r="B56" s="53" t="str">
        <f t="shared" si="8"/>
        <v/>
      </c>
      <c r="C56" s="375">
        <f t="shared" si="9"/>
        <v>51</v>
      </c>
      <c r="D56" s="395"/>
      <c r="E56" s="396"/>
      <c r="F56" s="397"/>
      <c r="G56" s="395"/>
      <c r="H56" s="404">
        <f t="shared" si="0"/>
        <v>0</v>
      </c>
      <c r="I56" s="421">
        <f>IF($Q$1&gt;0,TGsh!E54*$M$4%+TGsh!F54*(1-$M$4%),0)</f>
        <v>0</v>
      </c>
      <c r="J56" s="411">
        <f t="shared" si="10"/>
        <v>0</v>
      </c>
      <c r="K56" s="297" t="str">
        <f>$K$7</f>
        <v xml:space="preserve">Mort Sem </v>
      </c>
      <c r="L56" s="289">
        <f>SUM(D55:D61)</f>
        <v>0</v>
      </c>
      <c r="M56" s="429">
        <f>IF(J54&gt;0,L56/J54,0)</f>
        <v>0</v>
      </c>
      <c r="N56" s="430">
        <f ca="1">SUM(TGsh!G53:G59)</f>
        <v>0</v>
      </c>
      <c r="O56" s="26"/>
      <c r="P56" s="32"/>
      <c r="Q56" s="32"/>
      <c r="R56" s="315">
        <f t="shared" si="11"/>
        <v>0</v>
      </c>
      <c r="S56" s="320"/>
      <c r="T56" s="32"/>
      <c r="U56" s="321"/>
      <c r="V56" s="35">
        <f t="shared" si="16"/>
        <v>0</v>
      </c>
      <c r="W56" s="306"/>
      <c r="X56" s="32"/>
      <c r="Y56" s="32"/>
      <c r="Z56" s="35">
        <f t="shared" si="17"/>
        <v>0</v>
      </c>
      <c r="AA56" s="367">
        <f t="shared" si="12"/>
        <v>0</v>
      </c>
      <c r="AB56" s="368">
        <f t="shared" si="1"/>
        <v>0</v>
      </c>
      <c r="AC56" s="369">
        <f t="shared" si="13"/>
        <v>0</v>
      </c>
      <c r="AD56" s="327">
        <f t="shared" si="2"/>
        <v>0</v>
      </c>
      <c r="AE56" s="328">
        <f t="shared" si="14"/>
        <v>0</v>
      </c>
      <c r="AF56" s="350">
        <f t="shared" si="48"/>
        <v>0</v>
      </c>
      <c r="AG56" s="29">
        <f t="shared" si="4"/>
        <v>0</v>
      </c>
      <c r="AH56" s="47">
        <f>IF($M$3&gt;0,TGsh!C54*$M$4%+TGsh!D54*(1-$M$4%),0)</f>
        <v>0</v>
      </c>
      <c r="AI56" s="337">
        <f>IF(SUM(AD55:AD61)&gt;0,AVERAGEIF(AD55:AD61,"&gt;0",AG55:AG61),0)</f>
        <v>0</v>
      </c>
      <c r="AJ56" s="338" t="str">
        <f>$AJ$7</f>
        <v>Cons Acum</v>
      </c>
      <c r="AK56" s="339">
        <f>IF((J61+SUM(F$6:F61))&gt;0,SUM(AD$6:AD61)*40000/(J61+SUM(F$6:F61)),0)</f>
        <v>0</v>
      </c>
      <c r="AL56" s="340">
        <f>AL49+AL55</f>
        <v>0</v>
      </c>
      <c r="AM56" s="341" t="str">
        <f>IF(AK55&gt;0,(AK56-AL56)/AL56*100,"")</f>
        <v/>
      </c>
      <c r="AN56" s="50"/>
      <c r="AO56" s="50"/>
      <c r="AP56" s="50"/>
      <c r="AQ56" s="50"/>
      <c r="AR56" s="50"/>
      <c r="AS56" s="72">
        <f t="shared" si="5"/>
        <v>0</v>
      </c>
      <c r="AT56" s="72">
        <f t="shared" si="6"/>
        <v>0</v>
      </c>
      <c r="AU56" s="72">
        <f t="shared" si="7"/>
        <v>0</v>
      </c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1"/>
    </row>
    <row r="57" spans="1:58" ht="16.5" thickBot="1" x14ac:dyDescent="0.3">
      <c r="A57" s="929"/>
      <c r="B57" s="53" t="str">
        <f t="shared" si="8"/>
        <v/>
      </c>
      <c r="C57" s="375">
        <f t="shared" si="9"/>
        <v>52</v>
      </c>
      <c r="D57" s="395"/>
      <c r="E57" s="396"/>
      <c r="F57" s="397"/>
      <c r="G57" s="395"/>
      <c r="H57" s="404">
        <f t="shared" si="0"/>
        <v>0</v>
      </c>
      <c r="I57" s="421">
        <f>IF($Q$1&gt;0,TGsh!E55*$M$4%+TGsh!F55*(1-$M$4%),0)</f>
        <v>0</v>
      </c>
      <c r="J57" s="411">
        <f t="shared" si="10"/>
        <v>0</v>
      </c>
      <c r="K57" s="298" t="str">
        <f>$K$8</f>
        <v xml:space="preserve">Sel Sem </v>
      </c>
      <c r="L57" s="290">
        <f>SUM(E55:E61)</f>
        <v>0</v>
      </c>
      <c r="M57" s="431">
        <f>IF(J54&gt;0,L57/J54,0)</f>
        <v>0</v>
      </c>
      <c r="N57" s="432">
        <v>0</v>
      </c>
      <c r="O57" s="26"/>
      <c r="P57" s="32"/>
      <c r="Q57" s="32"/>
      <c r="R57" s="315">
        <f t="shared" si="11"/>
        <v>0</v>
      </c>
      <c r="S57" s="320"/>
      <c r="T57" s="32"/>
      <c r="U57" s="321"/>
      <c r="V57" s="35">
        <f t="shared" si="16"/>
        <v>0</v>
      </c>
      <c r="W57" s="306"/>
      <c r="X57" s="32"/>
      <c r="Y57" s="32"/>
      <c r="Z57" s="35">
        <f t="shared" si="17"/>
        <v>0</v>
      </c>
      <c r="AA57" s="367">
        <f t="shared" si="12"/>
        <v>0</v>
      </c>
      <c r="AB57" s="368">
        <f t="shared" si="1"/>
        <v>0</v>
      </c>
      <c r="AC57" s="369">
        <f t="shared" si="13"/>
        <v>0</v>
      </c>
      <c r="AD57" s="327">
        <f t="shared" si="2"/>
        <v>0</v>
      </c>
      <c r="AE57" s="328">
        <f t="shared" si="14"/>
        <v>0</v>
      </c>
      <c r="AF57" s="350">
        <f t="shared" si="48"/>
        <v>0</v>
      </c>
      <c r="AG57" s="29">
        <f t="shared" si="4"/>
        <v>0</v>
      </c>
      <c r="AH57" s="47">
        <f>IF($M$3&gt;0,TGsh!C55*$M$4%+TGsh!D55*(1-$M$4%),0)</f>
        <v>0</v>
      </c>
      <c r="AI57" s="40" t="str">
        <f>$AI$8</f>
        <v>Gr. Guía</v>
      </c>
      <c r="AJ57" s="4" t="str">
        <f>$AJ$8</f>
        <v>Peso Sem</v>
      </c>
      <c r="AK57" s="332">
        <f>IF(SUM($F55:$F61)&gt;0,SUMPRODUCT($F55:$F61,H55:H61)/SUM($F55:$F61),0)</f>
        <v>0</v>
      </c>
      <c r="AL57" s="42">
        <f>IF($Q$1&gt;0,I61,0)</f>
        <v>0</v>
      </c>
      <c r="AM57" s="9" t="str">
        <f>IF(AK57&gt;0,(AK57-AL57)/AL57*100,"")</f>
        <v/>
      </c>
      <c r="AN57" s="50"/>
      <c r="AO57" s="50"/>
      <c r="AP57" s="50"/>
      <c r="AQ57" s="50"/>
      <c r="AR57" s="50"/>
      <c r="AS57" s="72">
        <f t="shared" si="5"/>
        <v>0</v>
      </c>
      <c r="AT57" s="72">
        <f t="shared" si="6"/>
        <v>0</v>
      </c>
      <c r="AU57" s="72">
        <f t="shared" si="7"/>
        <v>0</v>
      </c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1"/>
    </row>
    <row r="58" spans="1:58" ht="15.75" x14ac:dyDescent="0.25">
      <c r="A58" s="929"/>
      <c r="B58" s="53" t="str">
        <f t="shared" si="8"/>
        <v/>
      </c>
      <c r="C58" s="375">
        <f t="shared" si="9"/>
        <v>53</v>
      </c>
      <c r="D58" s="395"/>
      <c r="E58" s="396"/>
      <c r="F58" s="397"/>
      <c r="G58" s="395"/>
      <c r="H58" s="404">
        <f t="shared" si="0"/>
        <v>0</v>
      </c>
      <c r="I58" s="421">
        <f>IF($Q$1&gt;0,TGsh!E56*$M$4%+TGsh!F56*(1-$M$4%),0)</f>
        <v>0</v>
      </c>
      <c r="J58" s="411">
        <f t="shared" si="10"/>
        <v>0</v>
      </c>
      <c r="K58" s="299" t="str">
        <f>$K$9</f>
        <v xml:space="preserve">Mort + Sel Sem </v>
      </c>
      <c r="L58" s="291">
        <f>SUM(L56:L57)</f>
        <v>0</v>
      </c>
      <c r="M58" s="433">
        <f>IF(J54&gt;0,L58/J54,0)</f>
        <v>0</v>
      </c>
      <c r="N58" s="434">
        <f t="shared" ref="N58" ca="1" si="77">SUM(N56:N57)</f>
        <v>0</v>
      </c>
      <c r="O58" s="26"/>
      <c r="P58" s="32"/>
      <c r="Q58" s="32"/>
      <c r="R58" s="315">
        <f t="shared" si="11"/>
        <v>0</v>
      </c>
      <c r="S58" s="320"/>
      <c r="T58" s="32"/>
      <c r="U58" s="321"/>
      <c r="V58" s="35">
        <f t="shared" si="16"/>
        <v>0</v>
      </c>
      <c r="W58" s="306"/>
      <c r="X58" s="32"/>
      <c r="Y58" s="32"/>
      <c r="Z58" s="35">
        <f t="shared" si="17"/>
        <v>0</v>
      </c>
      <c r="AA58" s="367">
        <f t="shared" si="12"/>
        <v>0</v>
      </c>
      <c r="AB58" s="368">
        <f t="shared" si="1"/>
        <v>0</v>
      </c>
      <c r="AC58" s="369">
        <f t="shared" si="13"/>
        <v>0</v>
      </c>
      <c r="AD58" s="327">
        <f t="shared" si="2"/>
        <v>0</v>
      </c>
      <c r="AE58" s="328">
        <f t="shared" si="14"/>
        <v>0</v>
      </c>
      <c r="AF58" s="350">
        <f t="shared" si="48"/>
        <v>0</v>
      </c>
      <c r="AG58" s="29">
        <f t="shared" si="4"/>
        <v>0</v>
      </c>
      <c r="AH58" s="47">
        <f>IF($M$3&gt;0,TGsh!C56*$M$4%+TGsh!D56*(1-$M$4%),0)</f>
        <v>0</v>
      </c>
      <c r="AI58" s="337">
        <f>IF(SUM(AD55:AD61)&gt;0,AVERAGEIF(AD55:AD61,"&gt;0",AH55:AH61),0)</f>
        <v>0</v>
      </c>
      <c r="AJ58" s="5" t="str">
        <f t="shared" ref="AJ58" si="78">AJ51</f>
        <v>Gan Dia</v>
      </c>
      <c r="AK58" s="6">
        <f>IF(AND(AK50&gt;0,AK57&gt;0),(AK57-AK50)/(COUNTIF(AD55:AD61,"&gt;0")),0)</f>
        <v>0</v>
      </c>
      <c r="AL58" s="43">
        <f>IF(AND(AL50&gt;0,AL57&gt;0,COUNTIF(AD55:AD61,"&gt;0")),(AL57-AL50)/COUNTIF(AD55:AD61,"&gt;0"),0)</f>
        <v>0</v>
      </c>
      <c r="AM58" s="10" t="str">
        <f>IF(AK58&gt;0,(AK58-AL58)/AL58*100,"")</f>
        <v/>
      </c>
      <c r="AN58" s="354"/>
      <c r="AO58" s="354"/>
      <c r="AP58" s="50"/>
      <c r="AQ58" s="50"/>
      <c r="AR58" s="50"/>
      <c r="AS58" s="72">
        <f t="shared" si="5"/>
        <v>0</v>
      </c>
      <c r="AT58" s="72">
        <f t="shared" si="6"/>
        <v>0</v>
      </c>
      <c r="AU58" s="72">
        <f t="shared" si="7"/>
        <v>0</v>
      </c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1"/>
    </row>
    <row r="59" spans="1:58" ht="15.75" customHeight="1" x14ac:dyDescent="0.25">
      <c r="A59" s="929"/>
      <c r="B59" s="53" t="str">
        <f t="shared" si="8"/>
        <v/>
      </c>
      <c r="C59" s="375">
        <f t="shared" si="9"/>
        <v>54</v>
      </c>
      <c r="D59" s="395"/>
      <c r="E59" s="396"/>
      <c r="F59" s="397"/>
      <c r="G59" s="395"/>
      <c r="H59" s="404">
        <f t="shared" si="0"/>
        <v>0</v>
      </c>
      <c r="I59" s="421">
        <f>IF($Q$1&gt;0,TGsh!E57*$M$4%+TGsh!F57*(1-$M$4%),0)</f>
        <v>0</v>
      </c>
      <c r="J59" s="411">
        <f t="shared" si="10"/>
        <v>0</v>
      </c>
      <c r="K59" s="300" t="str">
        <f>$K$10</f>
        <v xml:space="preserve">Mort Acum </v>
      </c>
      <c r="L59" s="292">
        <f>L56+L52</f>
        <v>0</v>
      </c>
      <c r="M59" s="435">
        <f>IF($M$3&gt;0,L59/$M$3,0)</f>
        <v>0</v>
      </c>
      <c r="N59" s="436">
        <f ca="1">TGsh!H59</f>
        <v>0</v>
      </c>
      <c r="O59" s="26"/>
      <c r="P59" s="32"/>
      <c r="Q59" s="32"/>
      <c r="R59" s="315">
        <f t="shared" si="11"/>
        <v>0</v>
      </c>
      <c r="S59" s="320"/>
      <c r="T59" s="32"/>
      <c r="U59" s="321"/>
      <c r="V59" s="35">
        <f t="shared" si="16"/>
        <v>0</v>
      </c>
      <c r="W59" s="306"/>
      <c r="X59" s="32"/>
      <c r="Y59" s="32"/>
      <c r="Z59" s="35">
        <f t="shared" si="17"/>
        <v>0</v>
      </c>
      <c r="AA59" s="367">
        <f t="shared" si="12"/>
        <v>0</v>
      </c>
      <c r="AB59" s="368">
        <f t="shared" si="1"/>
        <v>0</v>
      </c>
      <c r="AC59" s="369">
        <f t="shared" si="13"/>
        <v>0</v>
      </c>
      <c r="AD59" s="327">
        <f t="shared" si="2"/>
        <v>0</v>
      </c>
      <c r="AE59" s="328">
        <f t="shared" si="14"/>
        <v>0</v>
      </c>
      <c r="AF59" s="350">
        <f t="shared" si="48"/>
        <v>0</v>
      </c>
      <c r="AG59" s="29">
        <f t="shared" si="4"/>
        <v>0</v>
      </c>
      <c r="AH59" s="47">
        <f>IF($M$3&gt;0,TGsh!C57*$M$4%+TGsh!D57*(1-$M$4%),0)</f>
        <v>0</v>
      </c>
      <c r="AI59" s="891" t="s">
        <v>46</v>
      </c>
      <c r="AJ59" s="7" t="str">
        <f>$AJ$10</f>
        <v>Conversión</v>
      </c>
      <c r="AK59" s="13">
        <f>IF(AK57&gt;0,AK56/AK57,0)</f>
        <v>0</v>
      </c>
      <c r="AL59" s="44">
        <f>IF(AL57&gt;0,AL56/AL57,0)</f>
        <v>0</v>
      </c>
      <c r="AM59" s="11" t="str">
        <f>IF(AK57&gt;0,-(AK59-AL59)/AL59*100,"")</f>
        <v/>
      </c>
      <c r="AN59" s="50"/>
      <c r="AO59" s="50"/>
      <c r="AP59" s="50"/>
      <c r="AQ59" s="50"/>
      <c r="AR59" s="50"/>
      <c r="AS59" s="72">
        <f t="shared" si="5"/>
        <v>0</v>
      </c>
      <c r="AT59" s="72">
        <f t="shared" si="6"/>
        <v>0</v>
      </c>
      <c r="AU59" s="72">
        <f t="shared" si="7"/>
        <v>0</v>
      </c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1"/>
    </row>
    <row r="60" spans="1:58" ht="15.75" x14ac:dyDescent="0.25">
      <c r="A60" s="929"/>
      <c r="B60" s="53" t="str">
        <f t="shared" si="8"/>
        <v/>
      </c>
      <c r="C60" s="375">
        <f t="shared" si="9"/>
        <v>55</v>
      </c>
      <c r="D60" s="395"/>
      <c r="E60" s="396"/>
      <c r="F60" s="397"/>
      <c r="G60" s="409"/>
      <c r="H60" s="405">
        <f t="shared" si="0"/>
        <v>0</v>
      </c>
      <c r="I60" s="420">
        <f>IF($Q$1&gt;0,TGsh!E58*$M$4%+TGsh!F58*(1-$M$4%),0)</f>
        <v>0</v>
      </c>
      <c r="J60" s="412">
        <f t="shared" si="10"/>
        <v>0</v>
      </c>
      <c r="K60" s="298" t="str">
        <f>$K$11</f>
        <v xml:space="preserve">Sel Acum </v>
      </c>
      <c r="L60" s="290">
        <f>L57+L53</f>
        <v>0</v>
      </c>
      <c r="M60" s="431">
        <f>IF($M$3&gt;0,L60/$M$3,0)</f>
        <v>0</v>
      </c>
      <c r="N60" s="437">
        <f t="shared" ref="N60" si="79">N57+N53</f>
        <v>0</v>
      </c>
      <c r="O60" s="26"/>
      <c r="P60" s="32"/>
      <c r="Q60" s="32"/>
      <c r="R60" s="315">
        <f t="shared" si="11"/>
        <v>0</v>
      </c>
      <c r="S60" s="320"/>
      <c r="T60" s="32"/>
      <c r="U60" s="321"/>
      <c r="V60" s="35">
        <f t="shared" si="16"/>
        <v>0</v>
      </c>
      <c r="W60" s="306"/>
      <c r="X60" s="32"/>
      <c r="Y60" s="32"/>
      <c r="Z60" s="35">
        <f t="shared" si="17"/>
        <v>0</v>
      </c>
      <c r="AA60" s="367">
        <f t="shared" si="12"/>
        <v>0</v>
      </c>
      <c r="AB60" s="368">
        <f t="shared" si="1"/>
        <v>0</v>
      </c>
      <c r="AC60" s="369">
        <f t="shared" si="13"/>
        <v>0</v>
      </c>
      <c r="AD60" s="327">
        <f t="shared" si="2"/>
        <v>0</v>
      </c>
      <c r="AE60" s="328">
        <f t="shared" si="14"/>
        <v>0</v>
      </c>
      <c r="AF60" s="350">
        <f t="shared" si="48"/>
        <v>0</v>
      </c>
      <c r="AG60" s="29">
        <f t="shared" si="4"/>
        <v>0</v>
      </c>
      <c r="AH60" s="47">
        <f>IF($M$3&gt;0,TGsh!C58*$M$4%+TGsh!D58*(1-$M$4%),0)</f>
        <v>0</v>
      </c>
      <c r="AI60" s="892"/>
      <c r="AJ60" s="7" t="str">
        <f>$AJ$11</f>
        <v>Ef. Alim</v>
      </c>
      <c r="AK60" s="12">
        <f>IF(AK59&gt;0,AK57/AK59/10,0)</f>
        <v>0</v>
      </c>
      <c r="AL60" s="45">
        <f>IF(AL59&gt;0,AL57/AL59/10,0)</f>
        <v>0</v>
      </c>
      <c r="AM60" s="11" t="str">
        <f>IF(AK60&gt;0,(AK60-AL60)/AL60*100,"")</f>
        <v/>
      </c>
      <c r="AN60" s="50"/>
      <c r="AO60" s="50"/>
      <c r="AP60" s="50"/>
      <c r="AQ60" s="50"/>
      <c r="AR60" s="50"/>
      <c r="AS60" s="72">
        <f t="shared" si="5"/>
        <v>0</v>
      </c>
      <c r="AT60" s="72">
        <f t="shared" si="6"/>
        <v>0</v>
      </c>
      <c r="AU60" s="72">
        <f t="shared" si="7"/>
        <v>0</v>
      </c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1"/>
    </row>
    <row r="61" spans="1:58" ht="16.5" thickBot="1" x14ac:dyDescent="0.3">
      <c r="A61" s="930"/>
      <c r="B61" s="54" t="str">
        <f t="shared" si="8"/>
        <v/>
      </c>
      <c r="C61" s="408">
        <f t="shared" si="9"/>
        <v>56</v>
      </c>
      <c r="D61" s="409"/>
      <c r="E61" s="398"/>
      <c r="F61" s="399"/>
      <c r="G61" s="409"/>
      <c r="H61" s="405">
        <f t="shared" si="0"/>
        <v>0</v>
      </c>
      <c r="I61" s="419">
        <f>IF($Q$1&gt;0,TGsh!E59*$M$4%+TGsh!F59*(1-$M$4%),0)</f>
        <v>0</v>
      </c>
      <c r="J61" s="56">
        <f t="shared" si="10"/>
        <v>0</v>
      </c>
      <c r="K61" s="301" t="str">
        <f>$K$12</f>
        <v xml:space="preserve">Mort + Sel Acum </v>
      </c>
      <c r="L61" s="293">
        <f>L58+L54</f>
        <v>0</v>
      </c>
      <c r="M61" s="438">
        <f>IF($M$3&gt;0,L61/$M$3,0)</f>
        <v>0</v>
      </c>
      <c r="N61" s="439">
        <f t="shared" ref="N61" ca="1" si="80">SUM(N59:N60)</f>
        <v>0</v>
      </c>
      <c r="O61" s="27"/>
      <c r="P61" s="33"/>
      <c r="Q61" s="33"/>
      <c r="R61" s="316">
        <f t="shared" si="11"/>
        <v>0</v>
      </c>
      <c r="S61" s="322"/>
      <c r="T61" s="33"/>
      <c r="U61" s="323"/>
      <c r="V61" s="324">
        <f t="shared" si="16"/>
        <v>0</v>
      </c>
      <c r="W61" s="307"/>
      <c r="X61" s="33"/>
      <c r="Y61" s="33"/>
      <c r="Z61" s="36">
        <f t="shared" si="17"/>
        <v>0</v>
      </c>
      <c r="AA61" s="370">
        <f t="shared" si="12"/>
        <v>0</v>
      </c>
      <c r="AB61" s="371">
        <f t="shared" si="1"/>
        <v>0</v>
      </c>
      <c r="AC61" s="372">
        <f t="shared" si="13"/>
        <v>0</v>
      </c>
      <c r="AD61" s="351">
        <f t="shared" si="2"/>
        <v>0</v>
      </c>
      <c r="AE61" s="502">
        <f t="shared" si="14"/>
        <v>0</v>
      </c>
      <c r="AF61" s="352">
        <f t="shared" si="48"/>
        <v>0</v>
      </c>
      <c r="AG61" s="30">
        <f t="shared" si="4"/>
        <v>0</v>
      </c>
      <c r="AH61" s="48">
        <f>IF($M$3&gt;0,TGsh!C59*$M$4%+TGsh!D59*(1-$M$4%),0)</f>
        <v>0</v>
      </c>
      <c r="AI61" s="342">
        <f>IF('Liq-Zoot'!$F$31&gt;0,AK57/1000*J61/'Liq-Zoot'!$F$31,0)</f>
        <v>0</v>
      </c>
      <c r="AJ61" s="343" t="str">
        <f>$AJ$12</f>
        <v>Fact. IP</v>
      </c>
      <c r="AK61" s="344">
        <f>IF(AK59&gt;0,AK60/AK59,0)</f>
        <v>0</v>
      </c>
      <c r="AL61" s="345">
        <f>IF(AL59&gt;0,AL60/AL59,0)</f>
        <v>0</v>
      </c>
      <c r="AM61" s="346" t="str">
        <f>IF(AK61&gt;0,(AK61-AL61)/AL61*100,"")</f>
        <v/>
      </c>
      <c r="AN61" s="50"/>
      <c r="AO61" s="50"/>
      <c r="AP61" s="50"/>
      <c r="AQ61" s="50"/>
      <c r="AR61" s="50"/>
      <c r="AS61" s="72">
        <f t="shared" si="5"/>
        <v>0</v>
      </c>
      <c r="AT61" s="72">
        <f t="shared" si="6"/>
        <v>0</v>
      </c>
      <c r="AU61" s="72">
        <f t="shared" si="7"/>
        <v>0</v>
      </c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1"/>
    </row>
    <row r="62" spans="1:58" ht="17.25" thickTop="1" thickBot="1" x14ac:dyDescent="0.3">
      <c r="A62" s="50"/>
      <c r="B62" s="50"/>
      <c r="C62" s="407">
        <f>IF(F62&gt;0,SUMPRODUCT(C6:C61,F6:F61)/F62,0)</f>
        <v>0</v>
      </c>
      <c r="D62" s="857" t="str">
        <f>'G1'!$D$62</f>
        <v xml:space="preserve">Total Ventas : </v>
      </c>
      <c r="E62" s="858"/>
      <c r="F62" s="391">
        <f>SUM(F6:F61)</f>
        <v>0</v>
      </c>
      <c r="G62" s="416">
        <f>SUM(G6:G61)</f>
        <v>0</v>
      </c>
      <c r="H62" s="422">
        <f>IF(F62&gt;0,G62/F62*1000,0)</f>
        <v>0</v>
      </c>
      <c r="I62" s="446">
        <f>IF(F62&gt;0,SUMPRODUCT(F6:F61,I6:I61)/F62,0)</f>
        <v>0</v>
      </c>
      <c r="J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</row>
    <row r="63" spans="1:58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</sheetData>
  <sheetProtection algorithmName="SHA-512" hashValue="SGK13wilzsWjGgz4qcLzZGgYaVcahPL5WfjWra0DwPWRCD9gnhr7m2Qz2d5mF8jw4xmysv1b+jdl5Zm6FpjU8w==" saltValue="DI24ZhiVUMxyUvNbyt2qoQ==" spinCount="100000" sheet="1" formatCells="0" formatColumns="0" formatRows="0" sort="0" autoFilter="0"/>
  <autoFilter ref="B5:B61" xr:uid="{00000000-0009-0000-0000-000004000000}"/>
  <mergeCells count="66">
    <mergeCell ref="A48:A54"/>
    <mergeCell ref="AI52:AI53"/>
    <mergeCell ref="A55:A61"/>
    <mergeCell ref="AI59:AI60"/>
    <mergeCell ref="D62:E62"/>
    <mergeCell ref="A27:A33"/>
    <mergeCell ref="AI31:AI32"/>
    <mergeCell ref="A34:A40"/>
    <mergeCell ref="AI38:AI39"/>
    <mergeCell ref="A41:A47"/>
    <mergeCell ref="AI45:AI46"/>
    <mergeCell ref="K5:N5"/>
    <mergeCell ref="A6:A12"/>
    <mergeCell ref="AI10:AI11"/>
    <mergeCell ref="A13:A19"/>
    <mergeCell ref="AI17:AI18"/>
    <mergeCell ref="A20:A26"/>
    <mergeCell ref="AI24:AI25"/>
    <mergeCell ref="S4:T4"/>
    <mergeCell ref="U4:V4"/>
    <mergeCell ref="W4:X4"/>
    <mergeCell ref="Y4:Z4"/>
    <mergeCell ref="AA4:AH4"/>
    <mergeCell ref="AI4:AM4"/>
    <mergeCell ref="E4:F4"/>
    <mergeCell ref="K4:L4"/>
    <mergeCell ref="M4:N4"/>
    <mergeCell ref="O4:P4"/>
    <mergeCell ref="Q4:R4"/>
    <mergeCell ref="A1:C4"/>
    <mergeCell ref="D1:G1"/>
    <mergeCell ref="H1:J1"/>
    <mergeCell ref="S3:V3"/>
    <mergeCell ref="W3:Z3"/>
    <mergeCell ref="AA3:AB3"/>
    <mergeCell ref="AD3:AF3"/>
    <mergeCell ref="AG3:AI3"/>
    <mergeCell ref="W2:X2"/>
    <mergeCell ref="Y2:Z2"/>
    <mergeCell ref="AA2:AB2"/>
    <mergeCell ref="AD2:AF2"/>
    <mergeCell ref="AG2:AI2"/>
    <mergeCell ref="D3:G3"/>
    <mergeCell ref="H3:J3"/>
    <mergeCell ref="K3:L3"/>
    <mergeCell ref="M3:N3"/>
    <mergeCell ref="O3:R3"/>
    <mergeCell ref="Q2:R2"/>
    <mergeCell ref="S2:T2"/>
    <mergeCell ref="U2:V2"/>
    <mergeCell ref="Q1:R1"/>
    <mergeCell ref="S1:T1"/>
    <mergeCell ref="U1:V1"/>
    <mergeCell ref="D2:G2"/>
    <mergeCell ref="H2:J2"/>
    <mergeCell ref="K2:L2"/>
    <mergeCell ref="M2:N2"/>
    <mergeCell ref="O2:P2"/>
    <mergeCell ref="K1:L1"/>
    <mergeCell ref="M1:N1"/>
    <mergeCell ref="O1:P1"/>
    <mergeCell ref="AD1:AF1"/>
    <mergeCell ref="AG1:AI1"/>
    <mergeCell ref="W1:X1"/>
    <mergeCell ref="Y1:Z1"/>
    <mergeCell ref="AA1:AB1"/>
  </mergeCells>
  <conditionalFormatting sqref="B6:AH61">
    <cfRule type="expression" dxfId="10" priority="1">
      <formula>AND($C6/7=INT($C6/7))</formula>
    </cfRule>
  </conditionalFormatting>
  <conditionalFormatting sqref="L6:M61">
    <cfRule type="expression" dxfId="9" priority="3">
      <formula>AND($M6&gt;$N6)</formula>
    </cfRule>
  </conditionalFormatting>
  <conditionalFormatting sqref="AG6:AG61">
    <cfRule type="expression" dxfId="8" priority="4">
      <formula>AND($AG6&lt;$AH6*0.95,$AG6&gt;0)</formula>
    </cfRule>
  </conditionalFormatting>
  <dataValidations count="2">
    <dataValidation allowBlank="1" showInputMessage="1" showErrorMessage="1" prompt="Digite PESO (Kg) aves vendidas (sin los huacales)" sqref="G6:G61" xr:uid="{00000000-0002-0000-0400-000000000000}"/>
    <dataValidation allowBlank="1" showInputMessage="1" showErrorMessage="1" prompt="Digite el CONSUMO de Alimento Diario" sqref="P6:P61 T6:T61 X6:X61" xr:uid="{00000000-0002-0000-0400-000001000000}"/>
  </dataValidations>
  <printOptions horizontalCentered="1"/>
  <pageMargins left="0.47244094488188981" right="0.51181102362204722" top="0.35433070866141736" bottom="0.35433070866141736" header="0.23622047244094491" footer="0.31496062992125984"/>
  <pageSetup scale="53" fitToWidth="2" orientation="landscape" horizontalDpi="300" verticalDpi="300" r:id="rId1"/>
  <colBreaks count="1" manualBreakCount="1">
    <brk id="39" max="60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0"/>
  <dimension ref="A1:BO180"/>
  <sheetViews>
    <sheetView showGridLines="0" showRowColHeaders="0" showZeros="0" zoomScaleNormal="100" zoomScalePageLayoutView="140" workbookViewId="0">
      <pane xSplit="3" ySplit="5" topLeftCell="X6" activePane="bottomRight" state="frozen"/>
      <selection activeCell="N6" sqref="N6"/>
      <selection pane="topRight" activeCell="N6" sqref="N6"/>
      <selection pane="bottomLeft" activeCell="N6" sqref="N6"/>
      <selection pane="bottomRight" activeCell="AL8" sqref="AL8"/>
    </sheetView>
  </sheetViews>
  <sheetFormatPr baseColWidth="10" defaultColWidth="11" defaultRowHeight="15" x14ac:dyDescent="0.2"/>
  <cols>
    <col min="1" max="1" width="7" style="1" customWidth="1"/>
    <col min="2" max="2" width="15" style="1" customWidth="1"/>
    <col min="3" max="3" width="8" style="1" customWidth="1"/>
    <col min="4" max="4" width="9.6640625" style="1" customWidth="1"/>
    <col min="5" max="5" width="8.33203125" style="1" customWidth="1"/>
    <col min="6" max="6" width="10.1640625" style="1" customWidth="1"/>
    <col min="7" max="7" width="10.83203125" style="1" customWidth="1"/>
    <col min="8" max="8" width="12" style="1" customWidth="1"/>
    <col min="9" max="9" width="10.83203125" style="1" customWidth="1"/>
    <col min="10" max="10" width="11.1640625" style="1" bestFit="1" customWidth="1"/>
    <col min="11" max="11" width="18.33203125" style="1" customWidth="1"/>
    <col min="12" max="12" width="7.33203125" style="1" customWidth="1"/>
    <col min="13" max="13" width="8.83203125" style="1" customWidth="1"/>
    <col min="14" max="14" width="9" style="1" customWidth="1"/>
    <col min="15" max="15" width="10.33203125" style="1" customWidth="1"/>
    <col min="16" max="16" width="11" style="1" customWidth="1"/>
    <col min="17" max="17" width="10.1640625" style="1" customWidth="1"/>
    <col min="18" max="18" width="11.33203125" style="1" customWidth="1"/>
    <col min="19" max="19" width="10.33203125" style="1" customWidth="1"/>
    <col min="20" max="20" width="11" style="1" customWidth="1"/>
    <col min="21" max="21" width="10.1640625" style="1" customWidth="1"/>
    <col min="22" max="22" width="13" style="1" customWidth="1"/>
    <col min="23" max="23" width="10.33203125" style="1" customWidth="1"/>
    <col min="24" max="24" width="11.33203125" style="1" customWidth="1"/>
    <col min="25" max="25" width="10.1640625" style="1" customWidth="1"/>
    <col min="26" max="26" width="10.6640625" style="1" customWidth="1"/>
    <col min="27" max="27" width="13.33203125" style="1" customWidth="1"/>
    <col min="28" max="28" width="14.6640625" style="1" customWidth="1"/>
    <col min="29" max="29" width="13.83203125" style="1" customWidth="1"/>
    <col min="30" max="31" width="11" style="1" customWidth="1"/>
    <col min="32" max="32" width="11.83203125" style="1" customWidth="1"/>
    <col min="33" max="33" width="11.33203125" style="1" customWidth="1"/>
    <col min="34" max="34" width="11.6640625" style="1" customWidth="1"/>
    <col min="35" max="35" width="12.1640625" style="1" customWidth="1"/>
    <col min="36" max="36" width="15.83203125" style="1" customWidth="1"/>
    <col min="37" max="37" width="11" style="1" customWidth="1"/>
    <col min="38" max="38" width="10.1640625" style="1" customWidth="1"/>
    <col min="39" max="39" width="12" style="1" customWidth="1"/>
    <col min="40" max="40" width="7.1640625" style="1" bestFit="1" customWidth="1"/>
    <col min="41" max="41" width="7.1640625" style="1" customWidth="1"/>
    <col min="42" max="42" width="14.1640625" style="1" customWidth="1"/>
    <col min="43" max="43" width="14.33203125" style="1" customWidth="1"/>
    <col min="44" max="47" width="12.83203125" style="1" customWidth="1"/>
    <col min="48" max="48" width="8.83203125" style="1" customWidth="1"/>
    <col min="49" max="49" width="9.1640625" style="1" bestFit="1" customWidth="1"/>
    <col min="50" max="50" width="12.33203125" style="1" bestFit="1" customWidth="1"/>
    <col min="51" max="52" width="7.1640625" style="1" bestFit="1" customWidth="1"/>
    <col min="53" max="61" width="11" style="1"/>
    <col min="62" max="64" width="12" customWidth="1"/>
    <col min="65" max="16384" width="11" style="1"/>
  </cols>
  <sheetData>
    <row r="1" spans="1:67" ht="15.75" customHeight="1" x14ac:dyDescent="0.25">
      <c r="A1" s="968"/>
      <c r="B1" s="968"/>
      <c r="C1" s="968"/>
      <c r="D1" s="937" t="str">
        <f>'G1'!D1</f>
        <v xml:space="preserve">Empresa / Cliente : </v>
      </c>
      <c r="E1" s="938"/>
      <c r="F1" s="939"/>
      <c r="G1" s="939"/>
      <c r="H1" s="943">
        <f>'G1'!H1</f>
        <v>0</v>
      </c>
      <c r="I1" s="944"/>
      <c r="J1" s="945"/>
      <c r="K1" s="864" t="str">
        <f>'G1'!K1</f>
        <v xml:space="preserve">Machos Recibidos : </v>
      </c>
      <c r="L1" s="865"/>
      <c r="M1" s="964">
        <f>'G1'!M1+'G2'!M1+'G3'!M1+'G4'!M1</f>
        <v>0</v>
      </c>
      <c r="N1" s="965">
        <f>'G1'!N1+'G2'!N1+'G3'!N1+'G4'!N1</f>
        <v>0</v>
      </c>
      <c r="O1" s="916" t="str">
        <f>'G1'!O1</f>
        <v>F. Recepción :</v>
      </c>
      <c r="P1" s="917"/>
      <c r="Q1" s="935">
        <f>'G1'!Q1</f>
        <v>0</v>
      </c>
      <c r="R1" s="936"/>
      <c r="S1" s="916" t="str">
        <f>'G1'!S1</f>
        <v>Peso nac :</v>
      </c>
      <c r="T1" s="917"/>
      <c r="U1" s="970">
        <f>IF((IF('G1'!U1&gt;0,'G1'!M3,0)+IF('G2'!U1&gt;0,'G2'!M3,0)+IF('G3'!U1&gt;0,'G3'!M3,0)+IF('G4'!U1&gt;0,'G4'!M3,0))&gt;0,(('G1'!M3*'G1'!U1)+('G2'!M3*'G2'!U1)+('G3'!M3*'G3'!U1)+('G4'!M3*'G4'!U1))/(IF('G1'!U1&gt;0,'G1'!M3,0)+IF('G2'!U1&gt;0,'G2'!M3,0)+IF('G3'!U1&gt;0,'G3'!M3,0)+IF('G4'!U1&gt;0,'G4'!M3,0)),0)</f>
        <v>0</v>
      </c>
      <c r="V1" s="971"/>
      <c r="W1" s="916" t="str">
        <f>'G1'!W1</f>
        <v xml:space="preserve">Altura s. n. mar : </v>
      </c>
      <c r="X1" s="917"/>
      <c r="Y1" s="922" t="str">
        <f>IF('G1'!Y1="","",'G1'!Y1)</f>
        <v/>
      </c>
      <c r="Z1" s="923"/>
      <c r="AA1" s="926" t="s">
        <v>167</v>
      </c>
      <c r="AB1" s="927"/>
      <c r="AC1" s="443">
        <f>'G1'!AC1+'G2'!AC1</f>
        <v>0</v>
      </c>
      <c r="AD1" s="908" t="str">
        <f>'G1'!AD1</f>
        <v xml:space="preserve">Tipo Galpón : </v>
      </c>
      <c r="AE1" s="909"/>
      <c r="AF1" s="910"/>
      <c r="AG1" s="955" t="str">
        <f>_xlfn.CONCAT('G1'!AG1,IF('G2'!AG1&gt;0," y ",""),'G2'!AG1)</f>
        <v/>
      </c>
      <c r="AH1" s="955"/>
      <c r="AI1" s="956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</row>
    <row r="2" spans="1:67" s="2" customFormat="1" ht="15.75" customHeight="1" thickBot="1" x14ac:dyDescent="0.3">
      <c r="A2" s="968"/>
      <c r="B2" s="968"/>
      <c r="C2" s="968"/>
      <c r="D2" s="940" t="str">
        <f>'G1'!D2</f>
        <v xml:space="preserve">Nombre de la Granja : </v>
      </c>
      <c r="E2" s="941"/>
      <c r="F2" s="942"/>
      <c r="G2" s="942"/>
      <c r="H2" s="946">
        <f>'G1'!H2</f>
        <v>0</v>
      </c>
      <c r="I2" s="947"/>
      <c r="J2" s="948"/>
      <c r="K2" s="949" t="str">
        <f>'G1'!K2</f>
        <v xml:space="preserve">Hembras Recibidas : </v>
      </c>
      <c r="L2" s="950"/>
      <c r="M2" s="966">
        <f>'G1'!M2+'G2'!M2+'G3'!M2+'G4'!M2</f>
        <v>0</v>
      </c>
      <c r="N2" s="967">
        <f>'G1'!N2+'G2'!N2+'G3'!N2+'G4'!N2</f>
        <v>0</v>
      </c>
      <c r="O2" s="920" t="str">
        <f>'G1'!O2</f>
        <v xml:space="preserve">Guía Cons/Peso : </v>
      </c>
      <c r="P2" s="921"/>
      <c r="Q2" s="878">
        <f>'G1'!Q2</f>
        <v>0</v>
      </c>
      <c r="R2" s="879"/>
      <c r="S2" s="920" t="str">
        <f>'G1'!S2</f>
        <v xml:space="preserve">Sexo : </v>
      </c>
      <c r="T2" s="921"/>
      <c r="U2" s="878" t="str">
        <f>IF(M3&gt;0,IF(M2=0,"MACHO",IF(M1=0,"HEMBRA","MIXTO")),"")</f>
        <v/>
      </c>
      <c r="V2" s="879"/>
      <c r="W2" s="920" t="str">
        <f>'G1'!W2</f>
        <v>Clima :</v>
      </c>
      <c r="X2" s="921"/>
      <c r="Y2" s="918" t="str">
        <f>IF('G1'!Y2="","",'G1'!Y2)</f>
        <v>Cálido</v>
      </c>
      <c r="Z2" s="919"/>
      <c r="AA2" s="859" t="s">
        <v>165</v>
      </c>
      <c r="AB2" s="860"/>
      <c r="AC2" s="441">
        <f>IF(AC1&gt;0,M3/AC1,0)</f>
        <v>0</v>
      </c>
      <c r="AD2" s="911" t="str">
        <f>'G1'!AD2</f>
        <v xml:space="preserve">Tipo Comederos : </v>
      </c>
      <c r="AE2" s="912"/>
      <c r="AF2" s="913"/>
      <c r="AG2" s="957" t="str">
        <f>_xlfn.CONCAT('G1'!AG2,IF('G2'!AG2&gt;0," y ",""),'G2'!AG2)</f>
        <v/>
      </c>
      <c r="AH2" s="957"/>
      <c r="AI2" s="958"/>
      <c r="AJ2" s="353"/>
      <c r="AK2" s="353"/>
      <c r="AL2" s="353"/>
      <c r="AM2" s="353"/>
      <c r="AN2" s="353"/>
      <c r="AO2" s="353"/>
      <c r="AP2" s="353"/>
      <c r="AQ2" s="353"/>
      <c r="AR2" s="353"/>
      <c r="AS2" s="353"/>
      <c r="AT2" s="353"/>
      <c r="AU2" s="353"/>
      <c r="AV2" s="353"/>
      <c r="AW2" s="353"/>
      <c r="AX2" s="353"/>
      <c r="AY2" s="353"/>
      <c r="AZ2" s="353"/>
      <c r="BA2" s="353"/>
      <c r="BB2" s="353"/>
      <c r="BC2" s="353"/>
      <c r="BD2" s="353"/>
      <c r="BE2" s="353"/>
      <c r="BF2" s="353"/>
      <c r="BJ2"/>
      <c r="BK2"/>
      <c r="BL2"/>
    </row>
    <row r="3" spans="1:67" s="2" customFormat="1" ht="15.75" customHeight="1" thickBot="1" x14ac:dyDescent="0.3">
      <c r="A3" s="968"/>
      <c r="B3" s="968"/>
      <c r="C3" s="968"/>
      <c r="D3" s="940" t="str">
        <f>'G1'!D3</f>
        <v xml:space="preserve">Localización (Municipio/Vereda) : </v>
      </c>
      <c r="E3" s="941"/>
      <c r="F3" s="942"/>
      <c r="G3" s="942"/>
      <c r="H3" s="946">
        <f>'G1'!H3</f>
        <v>0</v>
      </c>
      <c r="I3" s="947"/>
      <c r="J3" s="948"/>
      <c r="K3" s="868" t="str">
        <f>'G1'!K3</f>
        <v xml:space="preserve">Aves Recibidas : </v>
      </c>
      <c r="L3" s="869"/>
      <c r="M3" s="906">
        <f>SUM(M1:N2)</f>
        <v>0</v>
      </c>
      <c r="N3" s="907"/>
      <c r="O3" s="875" t="str">
        <f>'G1'!O3</f>
        <v>Preiniciador Pollito</v>
      </c>
      <c r="P3" s="866"/>
      <c r="Q3" s="866"/>
      <c r="R3" s="866"/>
      <c r="S3" s="872" t="str">
        <f>'G1'!S3</f>
        <v>Iniciador Pollito</v>
      </c>
      <c r="T3" s="873"/>
      <c r="U3" s="873"/>
      <c r="V3" s="874"/>
      <c r="W3" s="866" t="str">
        <f>'G1'!W3</f>
        <v>Pollo Engorde</v>
      </c>
      <c r="X3" s="866"/>
      <c r="Y3" s="866"/>
      <c r="Z3" s="867"/>
      <c r="AA3" s="924" t="str">
        <f>'G1'!AA3</f>
        <v>Temperatura Ext :</v>
      </c>
      <c r="AB3" s="925"/>
      <c r="AC3" s="444" t="str">
        <f>_xlfn.CONCAT('G1'!AC3,IF('G2'!AC3&gt;0," y ",""),'G2'!AC3)</f>
        <v/>
      </c>
      <c r="AD3" s="914" t="str">
        <f>'G1'!AD3</f>
        <v xml:space="preserve">Tipo Bebederos : </v>
      </c>
      <c r="AE3" s="915"/>
      <c r="AF3" s="915"/>
      <c r="AG3" s="959" t="str">
        <f>_xlfn.CONCAT('G1'!AG3,IF('G2'!AG3&gt;0," y ",""),'G2'!AG3)</f>
        <v/>
      </c>
      <c r="AH3" s="959"/>
      <c r="AI3" s="960"/>
      <c r="AJ3" s="353"/>
      <c r="AK3" s="353"/>
      <c r="AL3" s="353"/>
      <c r="AM3" s="353"/>
      <c r="AN3" s="353"/>
      <c r="AO3" s="353"/>
      <c r="AP3" s="353"/>
      <c r="AQ3" s="353"/>
      <c r="AR3" s="353"/>
      <c r="AS3" s="353"/>
      <c r="AT3" s="353"/>
      <c r="AU3" s="353"/>
      <c r="AV3" s="353"/>
      <c r="AW3" s="353"/>
      <c r="AX3" s="353"/>
      <c r="AY3" s="353"/>
      <c r="AZ3" s="353"/>
      <c r="BA3" s="353"/>
      <c r="BB3" s="353"/>
      <c r="BC3" s="353"/>
      <c r="BD3" s="353"/>
      <c r="BE3" s="353"/>
      <c r="BF3" s="353"/>
      <c r="BJ3"/>
      <c r="BK3"/>
      <c r="BL3"/>
      <c r="BN3" s="1"/>
      <c r="BO3" s="1"/>
    </row>
    <row r="4" spans="1:67" s="2" customFormat="1" ht="15.75" customHeight="1" thickBot="1" x14ac:dyDescent="0.3">
      <c r="A4" s="969"/>
      <c r="B4" s="969"/>
      <c r="C4" s="969"/>
      <c r="D4" s="447" t="str">
        <f>'G1'!$D$4</f>
        <v xml:space="preserve">Raza : </v>
      </c>
      <c r="E4" s="953">
        <f>'G1'!$E$4</f>
        <v>0</v>
      </c>
      <c r="F4" s="954"/>
      <c r="G4" s="417" t="str">
        <f>'G1'!G4</f>
        <v># Lote :</v>
      </c>
      <c r="H4" s="360">
        <f>'G1'!H4</f>
        <v>0</v>
      </c>
      <c r="I4" s="331" t="str">
        <f>'G1'!I4</f>
        <v>Id. Galpón :</v>
      </c>
      <c r="J4" s="271" t="str">
        <f>CONCATENATE('G1'!J4,IF('G2'!M3&gt;0,"-"&amp;'G2'!J4,""),IF('G3'!M3&gt;0,"-"&amp;'G3'!J4,""),IF('G4'!M3&gt;0,"-"&amp;'G4'!J4,""))</f>
        <v>1</v>
      </c>
      <c r="K4" s="870" t="str">
        <f>'G1'!K4</f>
        <v xml:space="preserve">% Machos : </v>
      </c>
      <c r="L4" s="871"/>
      <c r="M4" s="951">
        <f>IF(M3&gt;0,M1/M3*100,0)</f>
        <v>0</v>
      </c>
      <c r="N4" s="952"/>
      <c r="O4" s="886" t="str">
        <f>'G1'!O4</f>
        <v xml:space="preserve">$ / Kilogramo: </v>
      </c>
      <c r="P4" s="881"/>
      <c r="Q4" s="961">
        <f>'Liq-Zoot'!B12</f>
        <v>0</v>
      </c>
      <c r="R4" s="963"/>
      <c r="S4" s="884" t="str">
        <f>'G1'!S4</f>
        <v xml:space="preserve">$ / Kilogramo: </v>
      </c>
      <c r="T4" s="885"/>
      <c r="U4" s="972">
        <f>'Liq-Zoot'!B14</f>
        <v>0</v>
      </c>
      <c r="V4" s="973"/>
      <c r="W4" s="880" t="str">
        <f>'G1'!W4</f>
        <v xml:space="preserve">$ / Kilogramo: </v>
      </c>
      <c r="X4" s="881"/>
      <c r="Y4" s="961">
        <f>'Liq-Zoot'!B16</f>
        <v>0</v>
      </c>
      <c r="Z4" s="962"/>
      <c r="AA4" s="888" t="str">
        <f>'G1'!AA4</f>
        <v>Consolidado Alimento / Consumo</v>
      </c>
      <c r="AB4" s="889"/>
      <c r="AC4" s="889"/>
      <c r="AD4" s="889"/>
      <c r="AE4" s="889"/>
      <c r="AF4" s="889"/>
      <c r="AG4" s="889"/>
      <c r="AH4" s="890"/>
      <c r="AI4" s="893" t="str">
        <f>'G1'!AI4</f>
        <v>Indicadores Zootécnicos</v>
      </c>
      <c r="AJ4" s="894"/>
      <c r="AK4" s="894"/>
      <c r="AL4" s="894"/>
      <c r="AM4" s="895"/>
      <c r="AN4" s="353"/>
      <c r="AO4" s="353"/>
      <c r="AP4" s="353"/>
      <c r="AQ4" s="353"/>
      <c r="AR4" s="353"/>
      <c r="AS4" s="353"/>
      <c r="AT4" s="353"/>
      <c r="AU4" s="353"/>
      <c r="AV4" s="353"/>
      <c r="AW4" s="353"/>
      <c r="AX4" s="353"/>
      <c r="AY4" s="353"/>
      <c r="AZ4" s="353"/>
      <c r="BA4" s="353"/>
      <c r="BB4" s="353"/>
      <c r="BC4" s="353"/>
      <c r="BD4" s="353"/>
      <c r="BE4" s="353"/>
      <c r="BF4" s="353"/>
      <c r="BJ4"/>
      <c r="BK4"/>
      <c r="BL4"/>
    </row>
    <row r="5" spans="1:67" ht="42" customHeight="1" thickBot="1" x14ac:dyDescent="0.25">
      <c r="A5" s="73" t="str">
        <f>'G1'!A5</f>
        <v xml:space="preserve"> </v>
      </c>
      <c r="B5" s="74" t="str">
        <f>'G1'!B5</f>
        <v>Fecha</v>
      </c>
      <c r="C5" s="373" t="str">
        <f>'G1'!C5</f>
        <v>Edad día</v>
      </c>
      <c r="D5" s="377" t="str">
        <f>'G1'!D5</f>
        <v>Mort</v>
      </c>
      <c r="E5" s="378" t="str">
        <f>'G1'!E5</f>
        <v>Sel</v>
      </c>
      <c r="F5" s="379" t="str">
        <f>'G1'!F5</f>
        <v>Trasl-Venta</v>
      </c>
      <c r="G5" s="414" t="str">
        <f>'G1'!G5</f>
        <v>Peso Total Neto</v>
      </c>
      <c r="H5" s="415" t="str">
        <f>'G1'!H5</f>
        <v>Peso (Gr) Prom.</v>
      </c>
      <c r="I5" s="413" t="str">
        <f>'G1'!I5</f>
        <v>Peso (Gr) Guía</v>
      </c>
      <c r="J5" s="75" t="str">
        <f>'G1'!J5</f>
        <v>Saldo Aves</v>
      </c>
      <c r="K5" s="861" t="str">
        <f>'G1'!K5</f>
        <v>Seguimiento a Mortalidad y Selección</v>
      </c>
      <c r="L5" s="862"/>
      <c r="M5" s="862"/>
      <c r="N5" s="863"/>
      <c r="O5" s="76" t="str">
        <f>'G1'!O5</f>
        <v>Ingreso Bulto X 40 K</v>
      </c>
      <c r="P5" s="445" t="str">
        <f>'G1'!P5</f>
        <v>Kilos</v>
      </c>
      <c r="Q5" s="77" t="str">
        <f>'G1'!Q5</f>
        <v>Traslado Bulto X 40 K</v>
      </c>
      <c r="R5" s="313" t="str">
        <f>'G1'!R5</f>
        <v>Saldo Bulto X 40 K</v>
      </c>
      <c r="S5" s="317" t="str">
        <f>'G1'!S5</f>
        <v>Ingreso Bulto X 40 K</v>
      </c>
      <c r="T5" s="445" t="str">
        <f>'G1'!T5</f>
        <v>Bulto X 40 K</v>
      </c>
      <c r="U5" s="77" t="str">
        <f>'G1'!U5</f>
        <v>Traslado Bulto X 40 K</v>
      </c>
      <c r="V5" s="78" t="str">
        <f>'G1'!V5</f>
        <v>Saldo Bulto X 40 K</v>
      </c>
      <c r="W5" s="85" t="str">
        <f>'G1'!W5</f>
        <v>Ingreso Bulto X 40 K</v>
      </c>
      <c r="X5" s="445" t="str">
        <f>'G1'!X5</f>
        <v>Bulto X 40 K</v>
      </c>
      <c r="Y5" s="77" t="str">
        <f>'G1'!Y5</f>
        <v>Traslado Bulto X 40 K</v>
      </c>
      <c r="Z5" s="78" t="str">
        <f>'G1'!Z5</f>
        <v>Saldo Bulto X 40 K</v>
      </c>
      <c r="AA5" s="361" t="str">
        <f>'G1'!AA5</f>
        <v>T. Ingreso Bulto X 40 K</v>
      </c>
      <c r="AB5" s="362" t="str">
        <f>'G1'!AB5</f>
        <v>T. Traslados Bulto X 40 K</v>
      </c>
      <c r="AC5" s="363" t="str">
        <f>'G1'!AC5</f>
        <v>Total Saldo Bulto X 40 K</v>
      </c>
      <c r="AD5" s="500" t="str">
        <f>'G1'!AD5</f>
        <v>Consumo día Bulto X 40 K</v>
      </c>
      <c r="AE5" s="501" t="str">
        <f>'G1'!AE5</f>
        <v>BULTOS Ac.</v>
      </c>
      <c r="AF5" s="348" t="str">
        <f>'G1'!AF5</f>
        <v>BULTOS Guia</v>
      </c>
      <c r="AG5" s="79" t="str">
        <f>'G1'!AG5</f>
        <v>Cons Ave Dia (Gr.)</v>
      </c>
      <c r="AH5" s="80" t="str">
        <f>'G1'!AH5</f>
        <v>Cons Ave Dia Guia</v>
      </c>
      <c r="AI5" s="81" t="str">
        <f>'G1'!AI5</f>
        <v>Consumo Prom Dia</v>
      </c>
      <c r="AJ5" s="333" t="str">
        <f>'G1'!AJ5</f>
        <v>Parám. Z</v>
      </c>
      <c r="AK5" s="82" t="str">
        <f>'G1'!AK5</f>
        <v>Real</v>
      </c>
      <c r="AL5" s="83" t="str">
        <f>'G1'!AL5</f>
        <v>Guia</v>
      </c>
      <c r="AM5" s="84" t="str">
        <f>'G1'!AM5</f>
        <v>% Cumpl</v>
      </c>
      <c r="AN5" s="50"/>
      <c r="AO5" s="50"/>
      <c r="AP5" s="50"/>
      <c r="AQ5" s="50"/>
      <c r="AR5" s="50"/>
      <c r="AS5" s="72" t="s">
        <v>120</v>
      </c>
      <c r="AT5" s="72" t="s">
        <v>119</v>
      </c>
      <c r="AU5" s="72" t="s">
        <v>118</v>
      </c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</row>
    <row r="6" spans="1:67" ht="16.5" customHeight="1" x14ac:dyDescent="0.25">
      <c r="A6" s="928" t="s">
        <v>10</v>
      </c>
      <c r="B6" s="52" t="str">
        <f>IF(Q1&gt;0,Q1,"")</f>
        <v/>
      </c>
      <c r="C6" s="374">
        <v>1</v>
      </c>
      <c r="D6" s="380">
        <f>'G1'!D6+'G2'!D6+'G3'!D6+'G4'!D6</f>
        <v>0</v>
      </c>
      <c r="E6" s="381">
        <f>'G1'!E6+'G2'!E6+'G3'!E6+'G4'!E6</f>
        <v>0</v>
      </c>
      <c r="F6" s="382">
        <f>'G1'!F6+'G2'!F6+'G3'!F6+'G4'!F6</f>
        <v>0</v>
      </c>
      <c r="G6" s="380">
        <f>'G1'!G6+'G2'!G6+'G3'!G6+'G4'!G6</f>
        <v>0</v>
      </c>
      <c r="H6" s="403">
        <f t="shared" ref="H6:H61" si="0">IF(F6&gt;0,G6/F6*1000,0)</f>
        <v>0</v>
      </c>
      <c r="I6" s="418">
        <f>IF($Q$1&gt;0,TGsh!E4*$M$4%+TGsh!F4*(1-$M$4%),0)</f>
        <v>0</v>
      </c>
      <c r="J6" s="308">
        <f>M3-SUM(D6:E6)-F6</f>
        <v>0</v>
      </c>
      <c r="K6" s="294" t="str">
        <f>'G1'!K6</f>
        <v>Item</v>
      </c>
      <c r="L6" s="295" t="str">
        <f>'G1'!L6</f>
        <v>#</v>
      </c>
      <c r="M6" s="295" t="str">
        <f>'G1'!M6</f>
        <v>Real %</v>
      </c>
      <c r="N6" s="296" t="str">
        <f>'G1'!N6</f>
        <v>Guia %</v>
      </c>
      <c r="O6" s="309">
        <f>'G1'!O6+'G2'!O6+'G3'!O6+'G4'!O6</f>
        <v>0</v>
      </c>
      <c r="P6" s="37">
        <f>IF('G1'!$P$5="Bulto X 40 K",'G1'!P6,'G1'!P6/40)+IF('G2'!$P$5="Bulto X 40 K",'G2'!P6,'G2'!P6/40)+IF('G3'!$P$5="Bulto X 40 K",'G3'!P6,'G3'!P6/40)+IF('G4'!$P$5="Bulto X 40 K",'G4'!P6,'G4'!P6/40)</f>
        <v>0</v>
      </c>
      <c r="Q6" s="37">
        <f>'G1'!Q6+'G2'!Q6+'G3'!Q6+'G4'!Q6</f>
        <v>0</v>
      </c>
      <c r="R6" s="314">
        <f>O6-SUM(P6:Q6)</f>
        <v>0</v>
      </c>
      <c r="S6" s="325">
        <f>'G1'!S6+'G2'!S6+'G3'!S6+'G4'!S6</f>
        <v>0</v>
      </c>
      <c r="T6" s="37">
        <f>IF('G1'!$T$5="Bulto X 40 K",'G1'!T6,'G1'!T6/40)+IF('G2'!$T$5="Bulto X 40 K",'G2'!T6,'G2'!T6/40)+IF('G3'!$T$5="Bulto X 40 K",'G3'!T6,'G3'!T6/40)+IF('G4'!$T$5="Bulto X 40 K",'G4'!T6,'G4'!T6/40)</f>
        <v>0</v>
      </c>
      <c r="U6" s="326">
        <f>'G1'!U6+'G2'!U6+'G3'!U6+'G4'!U6</f>
        <v>0</v>
      </c>
      <c r="V6" s="34">
        <f>S6-SUM(T6:U6)</f>
        <v>0</v>
      </c>
      <c r="W6" s="309">
        <f>'G1'!W6+'G2'!W6+'G3'!W6+'G4'!W6</f>
        <v>0</v>
      </c>
      <c r="X6" s="37">
        <f>IF('G1'!$X$5="Bulto X 40 K",'G1'!X6,'G1'!X6/40)+IF('G2'!$X$5="Bulto X 40 K",'G2'!X6,'G2'!X6/40)+IF('G3'!$X$5="Bulto X 40 K",'G3'!X6,'G3'!X6/40)+IF('G4'!$X$5="Bulto X 40 K",'G4'!X6,'G4'!X6/40)</f>
        <v>0</v>
      </c>
      <c r="Y6" s="37">
        <f>'G1'!Y6+'G2'!Y6+'G3'!Y6+'G4'!Y6</f>
        <v>0</v>
      </c>
      <c r="Z6" s="34">
        <f>W6-SUM(X6:Y6)</f>
        <v>0</v>
      </c>
      <c r="AA6" s="364">
        <f>O6+S6+W6</f>
        <v>0</v>
      </c>
      <c r="AB6" s="365">
        <f>Q6+U6+Y6</f>
        <v>0</v>
      </c>
      <c r="AC6" s="366">
        <f>AA6-AD6-AB6</f>
        <v>0</v>
      </c>
      <c r="AD6" s="325">
        <f>IF(P$5="Bulto X 40 K",P6,P6/40)+IF(T$5="Bulto X 40 K",T6,T6/40)+IF(X$5="Bulto X 40 K",X6,X6/40)</f>
        <v>0</v>
      </c>
      <c r="AE6" s="326">
        <f>AD6</f>
        <v>0</v>
      </c>
      <c r="AF6" s="349">
        <f t="shared" ref="AF6:AF37" si="1">MROUND(AH6*SUM(D6:F6,J6)/40000,0.1)</f>
        <v>0</v>
      </c>
      <c r="AG6" s="28">
        <f>IF((J6+F6)&gt;0,AD6*40000/(J6+F6),0)</f>
        <v>0</v>
      </c>
      <c r="AH6" s="46">
        <f>IF($M$3&gt;0,TGsh!C4*$M$4%+TGsh!D4*(1-$M$4%),0)</f>
        <v>0</v>
      </c>
      <c r="AI6" s="334" t="s">
        <v>45</v>
      </c>
      <c r="AJ6" s="335" t="s">
        <v>6</v>
      </c>
      <c r="AK6" s="3">
        <f>IF((J12+SUM(F6:F12))&gt;0,SUM(AD6:AD12)*40000/(J12+SUM(F6:F12)),0)</f>
        <v>0</v>
      </c>
      <c r="AL6" s="41">
        <f>SUMIF($AD6:$AD12,"&gt;0",AH6:AH12)</f>
        <v>0</v>
      </c>
      <c r="AM6" s="336" t="str">
        <f>IF(AK6&gt;0,(AK6-AL6)/AL6*100,"")</f>
        <v/>
      </c>
      <c r="AN6" s="50"/>
      <c r="AO6" s="50"/>
      <c r="AP6" s="50"/>
      <c r="AQ6" s="50"/>
      <c r="AR6" s="50"/>
      <c r="AS6" s="428">
        <f t="shared" ref="AS6:AS37" si="2">IF($AD6&gt;0,IF(P$5="Bulto X 40 K",P6,P6/40)/$AD6,0)</f>
        <v>0</v>
      </c>
      <c r="AT6" s="428">
        <f t="shared" ref="AT6:AT37" si="3">IF($AD6&gt;0,IF(T$5="Bulto X 40 K",T6,T6/40)/$AD6,0)</f>
        <v>0</v>
      </c>
      <c r="AU6" s="428">
        <f t="shared" ref="AU6:AU37" si="4">IF($AD6&gt;0,IF(X$5="Bulto X 40 K",X6,X6/40)/$AD6,0)</f>
        <v>0</v>
      </c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</row>
    <row r="7" spans="1:67" ht="16.5" thickBot="1" x14ac:dyDescent="0.3">
      <c r="A7" s="929"/>
      <c r="B7" s="53" t="str">
        <f t="shared" ref="B7:B61" si="5">IF(B6="","",B6+1)</f>
        <v/>
      </c>
      <c r="C7" s="375">
        <f t="shared" ref="C7:C38" si="6">C6+1</f>
        <v>2</v>
      </c>
      <c r="D7" s="383">
        <f>'G1'!D7+'G2'!D7+'G3'!D7+'G4'!D7</f>
        <v>0</v>
      </c>
      <c r="E7" s="384">
        <f>'G1'!E7+'G2'!E7+'G3'!E7+'G4'!E7</f>
        <v>0</v>
      </c>
      <c r="F7" s="385">
        <f>'G1'!F7+'G2'!F7+'G3'!F7+'G4'!F7</f>
        <v>0</v>
      </c>
      <c r="G7" s="383">
        <f>'G1'!G7+'G2'!G7+'G3'!G7+'G4'!G7</f>
        <v>0</v>
      </c>
      <c r="H7" s="404">
        <f t="shared" ref="H7:H12" si="7">IF(F7&gt;0,G7/F7*1000,0)</f>
        <v>0</v>
      </c>
      <c r="I7" s="420">
        <f>IF($Q$1&gt;0,TGsh!E5*$M$4%+TGsh!F5*(1-$M$4%),0)</f>
        <v>0</v>
      </c>
      <c r="J7" s="302">
        <f t="shared" ref="J7:J38" si="8">J6-SUM(D7:E7)-F7</f>
        <v>0</v>
      </c>
      <c r="K7" s="275" t="str">
        <f>'G1'!K7</f>
        <v xml:space="preserve">Mort Sem </v>
      </c>
      <c r="L7" s="289">
        <f>SUM(D6:D12)</f>
        <v>0</v>
      </c>
      <c r="M7" s="280">
        <f>IF(M3&gt;0,L7/M3,0)</f>
        <v>0</v>
      </c>
      <c r="N7" s="281">
        <f ca="1">SUM(TGsh!G4:G10)</f>
        <v>0</v>
      </c>
      <c r="O7" s="310">
        <f>'G1'!O7+'G2'!O7+'G3'!O7+'G4'!O7</f>
        <v>0</v>
      </c>
      <c r="P7" s="38">
        <f>IF('G1'!$P$5="Bulto X 40 K",'G1'!P7,'G1'!P7/40)+IF('G2'!$P$5="Bulto X 40 K",'G2'!P7,'G2'!P7/40)+IF('G3'!$P$5="Bulto X 40 K",'G3'!P7,'G3'!P7/40)+IF('G4'!$P$5="Bulto X 40 K",'G4'!P7,'G4'!P7/40)</f>
        <v>0</v>
      </c>
      <c r="Q7" s="38">
        <f>'G1'!Q7+'G2'!Q7+'G3'!Q7+'G4'!Q7</f>
        <v>0</v>
      </c>
      <c r="R7" s="315">
        <f t="shared" ref="R7:R38" si="9">R6+O7-SUM(P7:Q7)</f>
        <v>0</v>
      </c>
      <c r="S7" s="327">
        <f>'G1'!S7+'G2'!S7+'G3'!S7+'G4'!S7</f>
        <v>0</v>
      </c>
      <c r="T7" s="328">
        <f>IF('G1'!$T$5="Bulto X 40 K",'G1'!T7,'G1'!T7/40)+IF('G2'!$T$5="Bulto X 40 K",'G2'!T7,'G2'!T7/40)+IF('G3'!$T$5="Bulto X 40 K",'G3'!T7,'G3'!T7/40)+IF('G4'!$T$5="Bulto X 40 K",'G4'!T7,'G4'!T7/40)</f>
        <v>0</v>
      </c>
      <c r="U7" s="328">
        <f>'G1'!U7+'G2'!U7+'G3'!U7+'G4'!U7</f>
        <v>0</v>
      </c>
      <c r="V7" s="35">
        <f t="shared" ref="V7:V61" si="10">V6+S7-SUM(T7:U7)</f>
        <v>0</v>
      </c>
      <c r="W7" s="310">
        <f>'G1'!W7+'G2'!W7+'G3'!W7+'G4'!W7</f>
        <v>0</v>
      </c>
      <c r="X7" s="38">
        <f>IF('G1'!$X$5="Bulto X 40 K",'G1'!X7,'G1'!X7/40)+IF('G2'!$X$5="Bulto X 40 K",'G2'!X7,'G2'!X7/40)+IF('G3'!$X$5="Bulto X 40 K",'G3'!X7,'G3'!X7/40)+IF('G4'!$X$5="Bulto X 40 K",'G4'!X7,'G4'!X7/40)</f>
        <v>0</v>
      </c>
      <c r="Y7" s="38">
        <f>'G1'!Y7+'G2'!Y7+'G3'!Y7+'G4'!Y7</f>
        <v>0</v>
      </c>
      <c r="Z7" s="35">
        <f t="shared" ref="Z7:Z61" si="11">Z6+W7-SUM(X7:Y7)</f>
        <v>0</v>
      </c>
      <c r="AA7" s="367">
        <f>O7+S7+W7</f>
        <v>0</v>
      </c>
      <c r="AB7" s="368">
        <f>Q7+U7+Y7</f>
        <v>0</v>
      </c>
      <c r="AC7" s="369">
        <f>AC6+AA7-AD7-AB7</f>
        <v>0</v>
      </c>
      <c r="AD7" s="327">
        <f t="shared" ref="AD7:AD37" si="12">IF(P$5="Bulto X 40 K",P7,P7/40)+IF(T$5="Bulto X 40 K",T7,T7/40)+IF(X$5="Bulto X 40 K",X7,X7/40)</f>
        <v>0</v>
      </c>
      <c r="AE7" s="328">
        <f t="shared" ref="AE7:AE38" si="13">AE6+AD7</f>
        <v>0</v>
      </c>
      <c r="AF7" s="350">
        <f t="shared" si="1"/>
        <v>0</v>
      </c>
      <c r="AG7" s="29">
        <f>IF((J7+F7)&gt;0,AD7*40000/(J7+F7),0)</f>
        <v>0</v>
      </c>
      <c r="AH7" s="47">
        <f>IF($M$3&gt;0,TGsh!C5*$M$4%+TGsh!D5*(1-$M$4%),0)</f>
        <v>0</v>
      </c>
      <c r="AI7" s="337">
        <f>IF(SUM(AD6:AD12)&gt;0,AVERAGEIF(AD6:AD12,"&gt;0",AG6:AG12),0)</f>
        <v>0</v>
      </c>
      <c r="AJ7" s="338" t="s">
        <v>4</v>
      </c>
      <c r="AK7" s="339">
        <f>IF((J12+SUM(F$6:F12))&gt;0,SUM(AD$6:AD12)*40000/(J12+SUM(F$6:F12)),0)</f>
        <v>0</v>
      </c>
      <c r="AL7" s="340">
        <f>AL6</f>
        <v>0</v>
      </c>
      <c r="AM7" s="341" t="str">
        <f>IF(AK6&gt;0,(AK7-AL7)/AL7*100,"")</f>
        <v/>
      </c>
      <c r="AN7" s="50"/>
      <c r="AO7" s="143" t="s">
        <v>9</v>
      </c>
      <c r="AP7" s="143" t="s">
        <v>24</v>
      </c>
      <c r="AQ7" s="143" t="s">
        <v>25</v>
      </c>
      <c r="AR7" s="143" t="s">
        <v>14</v>
      </c>
      <c r="AS7" s="428">
        <f t="shared" si="2"/>
        <v>0</v>
      </c>
      <c r="AT7" s="428">
        <f t="shared" si="3"/>
        <v>0</v>
      </c>
      <c r="AU7" s="428">
        <f t="shared" si="4"/>
        <v>0</v>
      </c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8" spans="1:67" ht="16.5" thickBot="1" x14ac:dyDescent="0.3">
      <c r="A8" s="929"/>
      <c r="B8" s="53" t="str">
        <f t="shared" si="5"/>
        <v/>
      </c>
      <c r="C8" s="375">
        <f t="shared" si="6"/>
        <v>3</v>
      </c>
      <c r="D8" s="383">
        <f>'G1'!D8+'G2'!D8+'G3'!D8+'G4'!D8</f>
        <v>0</v>
      </c>
      <c r="E8" s="384">
        <f>'G1'!E8+'G2'!E8+'G3'!E8+'G4'!E8</f>
        <v>0</v>
      </c>
      <c r="F8" s="385">
        <f>'G1'!F8+'G2'!F8+'G3'!F8+'G4'!F8</f>
        <v>0</v>
      </c>
      <c r="G8" s="383">
        <f>'G1'!G8+'G2'!G8+'G3'!G8+'G4'!G8</f>
        <v>0</v>
      </c>
      <c r="H8" s="404">
        <f>IF(F8&gt;0,G8/F8*1000,0)</f>
        <v>0</v>
      </c>
      <c r="I8" s="420">
        <f>IF($Q$1&gt;0,TGsh!E6*$M$4%+TGsh!F6*(1-$M$4%),0)</f>
        <v>0</v>
      </c>
      <c r="J8" s="302">
        <f>J7-SUM(D8:E8)-F8</f>
        <v>0</v>
      </c>
      <c r="K8" s="276" t="str">
        <f>'G1'!K8</f>
        <v xml:space="preserve">Sel Sem </v>
      </c>
      <c r="L8" s="290">
        <f>SUM(E6:E12)</f>
        <v>0</v>
      </c>
      <c r="M8" s="282">
        <f>IF(M3&gt;0,L8/M3,0)</f>
        <v>0</v>
      </c>
      <c r="N8" s="283">
        <f>IF(('G1'!M3+'G2'!M3)&gt;0,(('G1'!N8*'G1'!M3)+('G2'!N8*'G2'!M3))/('G1'!M3+'G2'!M3),0)</f>
        <v>0</v>
      </c>
      <c r="O8" s="310">
        <f>'G1'!O8+'G2'!O8+'G3'!O8+'G4'!O8</f>
        <v>0</v>
      </c>
      <c r="P8" s="38">
        <f>IF('G1'!$P$5="Bulto X 40 K",'G1'!P8,'G1'!P8/40)+IF('G2'!$P$5="Bulto X 40 K",'G2'!P8,'G2'!P8/40)+IF('G3'!$P$5="Bulto X 40 K",'G3'!P8,'G3'!P8/40)+IF('G4'!$P$5="Bulto X 40 K",'G4'!P8,'G4'!P8/40)</f>
        <v>0</v>
      </c>
      <c r="Q8" s="38">
        <f>'G1'!Q8+'G2'!Q8+'G3'!Q8+'G4'!Q8</f>
        <v>0</v>
      </c>
      <c r="R8" s="315">
        <f t="shared" si="9"/>
        <v>0</v>
      </c>
      <c r="S8" s="327">
        <f>'G1'!S8+'G2'!S8+'G3'!S8+'G4'!S8</f>
        <v>0</v>
      </c>
      <c r="T8" s="328">
        <f>IF('G1'!$T$5="Bulto X 40 K",'G1'!T8,'G1'!T8/40)+IF('G2'!$T$5="Bulto X 40 K",'G2'!T8,'G2'!T8/40)+IF('G3'!$T$5="Bulto X 40 K",'G3'!T8,'G3'!T8/40)+IF('G4'!$T$5="Bulto X 40 K",'G4'!T8,'G4'!T8/40)</f>
        <v>0</v>
      </c>
      <c r="U8" s="328">
        <f>'G1'!U8+'G2'!U8+'G3'!U8+'G4'!U8</f>
        <v>0</v>
      </c>
      <c r="V8" s="35">
        <f t="shared" si="10"/>
        <v>0</v>
      </c>
      <c r="W8" s="310">
        <f>'G1'!W8+'G2'!W8+'G3'!W8+'G4'!W8</f>
        <v>0</v>
      </c>
      <c r="X8" s="38">
        <f>IF('G1'!$X$5="Bulto X 40 K",'G1'!X8,'G1'!X8/40)+IF('G2'!$X$5="Bulto X 40 K",'G2'!X8,'G2'!X8/40)+IF('G3'!$X$5="Bulto X 40 K",'G3'!X8,'G3'!X8/40)+IF('G4'!$X$5="Bulto X 40 K",'G4'!X8,'G4'!X8/40)</f>
        <v>0</v>
      </c>
      <c r="Y8" s="38">
        <f>'G1'!Y8+'G2'!Y8+'G3'!Y8+'G4'!Y8</f>
        <v>0</v>
      </c>
      <c r="Z8" s="35">
        <f t="shared" si="11"/>
        <v>0</v>
      </c>
      <c r="AA8" s="367">
        <f t="shared" ref="AA8:AA61" si="14">O8+S8+W8</f>
        <v>0</v>
      </c>
      <c r="AB8" s="368">
        <f t="shared" ref="AB8:AB37" si="15">Q8+U8+Y8</f>
        <v>0</v>
      </c>
      <c r="AC8" s="369">
        <f t="shared" ref="AC8:AC38" si="16">AC7+AA8-AD8-AB8</f>
        <v>0</v>
      </c>
      <c r="AD8" s="327">
        <f t="shared" si="12"/>
        <v>0</v>
      </c>
      <c r="AE8" s="328">
        <f t="shared" si="13"/>
        <v>0</v>
      </c>
      <c r="AF8" s="350">
        <f t="shared" si="1"/>
        <v>0</v>
      </c>
      <c r="AG8" s="29">
        <f t="shared" ref="AG8:AG37" si="17">IF((J8+F8)&gt;0,AD8*40000/(J8+F8),0)</f>
        <v>0</v>
      </c>
      <c r="AH8" s="47">
        <f>IF($M$3&gt;0,TGsh!C6*$M$4%+TGsh!D6*(1-$M$4%),0)</f>
        <v>0</v>
      </c>
      <c r="AI8" s="40" t="s">
        <v>44</v>
      </c>
      <c r="AJ8" s="4" t="s">
        <v>1</v>
      </c>
      <c r="AK8" s="39">
        <f>IF((IF('G2'!AK8&gt;0,'G2'!J12,0)+IF('G1'!AK8&gt;0,'G1'!J12,0)+IF('G3'!AK8&gt;0,'G3'!J12,0)+IF('G4'!AK8&gt;0,'G4'!J12,0))&gt;0,(('G1'!AK8*'G1'!J12)+('G2'!AK8*'G2'!J12)+('G3'!AK8*'G3'!J12)+('G4'!AK8*'G4'!J12))/(IF('G2'!AK8&gt;0,'G2'!J12,0)+IF('G1'!AK8&gt;0,'G1'!J12,0)+IF('G3'!AK8&gt;0,'G3'!J12,0)+IF('G4'!AK8&gt;0,'G4'!J12,0)),0)</f>
        <v>0</v>
      </c>
      <c r="AL8" s="42">
        <f>IF($Q$1&gt;0,I12,0)</f>
        <v>0</v>
      </c>
      <c r="AM8" s="9" t="str">
        <f>IF(AK8&gt;0,(AK8-AL8)/AL8*100,"")</f>
        <v/>
      </c>
      <c r="AN8" s="50"/>
      <c r="AO8" s="142">
        <v>1</v>
      </c>
      <c r="AP8" s="144">
        <f>AK6</f>
        <v>0</v>
      </c>
      <c r="AQ8" s="144">
        <f>AL6</f>
        <v>0</v>
      </c>
      <c r="AR8" s="142" t="str">
        <f>AM6</f>
        <v/>
      </c>
      <c r="AS8" s="428">
        <f t="shared" si="2"/>
        <v>0</v>
      </c>
      <c r="AT8" s="428">
        <f t="shared" si="3"/>
        <v>0</v>
      </c>
      <c r="AU8" s="428">
        <f t="shared" si="4"/>
        <v>0</v>
      </c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</row>
    <row r="9" spans="1:67" ht="15.75" customHeight="1" x14ac:dyDescent="0.25">
      <c r="A9" s="929"/>
      <c r="B9" s="53" t="str">
        <f t="shared" si="5"/>
        <v/>
      </c>
      <c r="C9" s="375">
        <f t="shared" si="6"/>
        <v>4</v>
      </c>
      <c r="D9" s="383">
        <f>'G1'!D9+'G2'!D9+'G3'!D9+'G4'!D9</f>
        <v>0</v>
      </c>
      <c r="E9" s="384">
        <f>'G1'!E9+'G2'!E9+'G3'!E9+'G4'!E9</f>
        <v>0</v>
      </c>
      <c r="F9" s="385">
        <f>'G1'!F9+'G2'!F9+'G3'!F9+'G4'!F9</f>
        <v>0</v>
      </c>
      <c r="G9" s="383">
        <f>'G1'!G9+'G2'!G9+'G3'!G9+'G4'!G9</f>
        <v>0</v>
      </c>
      <c r="H9" s="404">
        <f t="shared" si="7"/>
        <v>0</v>
      </c>
      <c r="I9" s="420">
        <f>IF($Q$1&gt;0,TGsh!E7*$M$4%+TGsh!F7*(1-$M$4%),0)</f>
        <v>0</v>
      </c>
      <c r="J9" s="302">
        <f>J8-SUM(D9:E9)-F9</f>
        <v>0</v>
      </c>
      <c r="K9" s="277" t="str">
        <f>'G1'!K9</f>
        <v xml:space="preserve">Mort + Sel Sem </v>
      </c>
      <c r="L9" s="291">
        <f>SUM(L7:L8)</f>
        <v>0</v>
      </c>
      <c r="M9" s="284">
        <f>IF(M3&gt;0,L9/M3,0)</f>
        <v>0</v>
      </c>
      <c r="N9" s="285">
        <f ca="1">SUM(N7:N8)</f>
        <v>0</v>
      </c>
      <c r="O9" s="310">
        <f>'G1'!O9+'G2'!O9+'G3'!O9+'G4'!O9</f>
        <v>0</v>
      </c>
      <c r="P9" s="38">
        <f>IF('G1'!$P$5="Bulto X 40 K",'G1'!P9,'G1'!P9/40)+IF('G2'!$P$5="Bulto X 40 K",'G2'!P9,'G2'!P9/40)+IF('G3'!$P$5="Bulto X 40 K",'G3'!P9,'G3'!P9/40)+IF('G4'!$P$5="Bulto X 40 K",'G4'!P9,'G4'!P9/40)</f>
        <v>0</v>
      </c>
      <c r="Q9" s="38">
        <f>'G1'!Q9+'G2'!Q9+'G3'!Q9+'G4'!Q9</f>
        <v>0</v>
      </c>
      <c r="R9" s="315">
        <f t="shared" si="9"/>
        <v>0</v>
      </c>
      <c r="S9" s="327">
        <f>'G1'!S9+'G2'!S9+'G3'!S9+'G4'!S9</f>
        <v>0</v>
      </c>
      <c r="T9" s="328">
        <f>IF('G1'!$T$5="Bulto X 40 K",'G1'!T9,'G1'!T9/40)+IF('G2'!$T$5="Bulto X 40 K",'G2'!T9,'G2'!T9/40)+IF('G3'!$T$5="Bulto X 40 K",'G3'!T9,'G3'!T9/40)+IF('G4'!$T$5="Bulto X 40 K",'G4'!T9,'G4'!T9/40)</f>
        <v>0</v>
      </c>
      <c r="U9" s="328">
        <f>'G1'!U9+'G2'!U9+'G3'!U9+'G4'!U9</f>
        <v>0</v>
      </c>
      <c r="V9" s="35">
        <f t="shared" si="10"/>
        <v>0</v>
      </c>
      <c r="W9" s="310">
        <f>'G1'!W9+'G2'!W9+'G3'!W9+'G4'!W9</f>
        <v>0</v>
      </c>
      <c r="X9" s="38">
        <f>IF('G1'!$X$5="Bulto X 40 K",'G1'!X9,'G1'!X9/40)+IF('G2'!$X$5="Bulto X 40 K",'G2'!X9,'G2'!X9/40)+IF('G3'!$X$5="Bulto X 40 K",'G3'!X9,'G3'!X9/40)+IF('G4'!$X$5="Bulto X 40 K",'G4'!X9,'G4'!X9/40)</f>
        <v>0</v>
      </c>
      <c r="Y9" s="38">
        <f>'G1'!Y9+'G2'!Y9+'G3'!Y9+'G4'!Y9</f>
        <v>0</v>
      </c>
      <c r="Z9" s="35">
        <f t="shared" si="11"/>
        <v>0</v>
      </c>
      <c r="AA9" s="367">
        <f t="shared" si="14"/>
        <v>0</v>
      </c>
      <c r="AB9" s="368">
        <f t="shared" si="15"/>
        <v>0</v>
      </c>
      <c r="AC9" s="369">
        <f t="shared" si="16"/>
        <v>0</v>
      </c>
      <c r="AD9" s="327">
        <f t="shared" si="12"/>
        <v>0</v>
      </c>
      <c r="AE9" s="328">
        <f t="shared" si="13"/>
        <v>0</v>
      </c>
      <c r="AF9" s="350">
        <f t="shared" si="1"/>
        <v>0</v>
      </c>
      <c r="AG9" s="29">
        <f t="shared" si="17"/>
        <v>0</v>
      </c>
      <c r="AH9" s="47">
        <f>IF($M$3&gt;0,TGsh!C7*$M$4%+TGsh!D7*(1-$M$4%),0)</f>
        <v>0</v>
      </c>
      <c r="AI9" s="337">
        <f>IF(SUM(AD6:AD12)&gt;0,AVERAGEIF(AD6:AD12,"&gt;0",AH6:AH12),0)</f>
        <v>0</v>
      </c>
      <c r="AJ9" s="5" t="s">
        <v>2</v>
      </c>
      <c r="AK9" s="6">
        <f>IF(AND(U1&gt;0,AK8&gt;0),(AK8-U1)/7,0)</f>
        <v>0</v>
      </c>
      <c r="AL9" s="43">
        <f>IF(AL8&gt;0,(AL8-40)/7,0)</f>
        <v>0</v>
      </c>
      <c r="AM9" s="10" t="str">
        <f>IF(AK9&gt;0,(AK9-AL9)/AL9*100,"")</f>
        <v/>
      </c>
      <c r="AN9" s="50"/>
      <c r="AO9" s="142">
        <f>AO8+1</f>
        <v>2</v>
      </c>
      <c r="AP9" s="144">
        <f>AK13</f>
        <v>0</v>
      </c>
      <c r="AQ9" s="144">
        <f>AL13</f>
        <v>0</v>
      </c>
      <c r="AR9" s="142" t="str">
        <f>AM13</f>
        <v/>
      </c>
      <c r="AS9" s="428">
        <f t="shared" si="2"/>
        <v>0</v>
      </c>
      <c r="AT9" s="428">
        <f t="shared" si="3"/>
        <v>0</v>
      </c>
      <c r="AU9" s="428">
        <f t="shared" si="4"/>
        <v>0</v>
      </c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</row>
    <row r="10" spans="1:67" ht="15.75" customHeight="1" x14ac:dyDescent="0.25">
      <c r="A10" s="929"/>
      <c r="B10" s="53" t="str">
        <f t="shared" si="5"/>
        <v/>
      </c>
      <c r="C10" s="375">
        <f t="shared" si="6"/>
        <v>5</v>
      </c>
      <c r="D10" s="383">
        <f>'G1'!D10+'G2'!D10+'G3'!D10+'G4'!D10</f>
        <v>0</v>
      </c>
      <c r="E10" s="384">
        <f>'G1'!E10+'G2'!E10+'G3'!E10+'G4'!E10</f>
        <v>0</v>
      </c>
      <c r="F10" s="385">
        <f>'G1'!F10+'G2'!F10+'G3'!F10+'G4'!F10</f>
        <v>0</v>
      </c>
      <c r="G10" s="383">
        <f>'G1'!G10+'G2'!G10+'G3'!G10+'G4'!G10</f>
        <v>0</v>
      </c>
      <c r="H10" s="404">
        <f t="shared" si="7"/>
        <v>0</v>
      </c>
      <c r="I10" s="420">
        <f>IF($Q$1&gt;0,TGsh!E8*$M$4%+TGsh!F8*(1-$M$4%),0)</f>
        <v>0</v>
      </c>
      <c r="J10" s="302">
        <f t="shared" si="8"/>
        <v>0</v>
      </c>
      <c r="K10" s="278" t="str">
        <f>'G1'!K10</f>
        <v xml:space="preserve">Mort Acum </v>
      </c>
      <c r="L10" s="292">
        <f>L7</f>
        <v>0</v>
      </c>
      <c r="M10" s="286">
        <f>IF(M3&gt;0,L10/M3,0)</f>
        <v>0</v>
      </c>
      <c r="N10" s="255">
        <f ca="1">TGsh!H10</f>
        <v>0</v>
      </c>
      <c r="O10" s="310">
        <f>'G1'!O10+'G2'!O10+'G3'!O10+'G4'!O10</f>
        <v>0</v>
      </c>
      <c r="P10" s="38">
        <f>IF('G1'!$P$5="Bulto X 40 K",'G1'!P10,'G1'!P10/40)+IF('G2'!$P$5="Bulto X 40 K",'G2'!P10,'G2'!P10/40)+IF('G3'!$P$5="Bulto X 40 K",'G3'!P10,'G3'!P10/40)+IF('G4'!$P$5="Bulto X 40 K",'G4'!P10,'G4'!P10/40)</f>
        <v>0</v>
      </c>
      <c r="Q10" s="38">
        <f>'G1'!Q10+'G2'!Q10+'G3'!Q10+'G4'!Q10</f>
        <v>0</v>
      </c>
      <c r="R10" s="315">
        <f t="shared" si="9"/>
        <v>0</v>
      </c>
      <c r="S10" s="327">
        <f>'G1'!S10+'G2'!S10+'G3'!S10+'G4'!S10</f>
        <v>0</v>
      </c>
      <c r="T10" s="328">
        <f>IF('G1'!$T$5="Bulto X 40 K",'G1'!T10,'G1'!T10/40)+IF('G2'!$T$5="Bulto X 40 K",'G2'!T10,'G2'!T10/40)+IF('G3'!$T$5="Bulto X 40 K",'G3'!T10,'G3'!T10/40)+IF('G4'!$T$5="Bulto X 40 K",'G4'!T10,'G4'!T10/40)</f>
        <v>0</v>
      </c>
      <c r="U10" s="328">
        <f>'G1'!U10+'G2'!U10+'G3'!U10+'G4'!U10</f>
        <v>0</v>
      </c>
      <c r="V10" s="35">
        <f t="shared" si="10"/>
        <v>0</v>
      </c>
      <c r="W10" s="310">
        <f>'G1'!W10+'G2'!W10+'G3'!W10+'G4'!W10</f>
        <v>0</v>
      </c>
      <c r="X10" s="38">
        <f>IF('G1'!$X$5="Bulto X 40 K",'G1'!X10,'G1'!X10/40)+IF('G2'!$X$5="Bulto X 40 K",'G2'!X10,'G2'!X10/40)+IF('G3'!$X$5="Bulto X 40 K",'G3'!X10,'G3'!X10/40)+IF('G4'!$X$5="Bulto X 40 K",'G4'!X10,'G4'!X10/40)</f>
        <v>0</v>
      </c>
      <c r="Y10" s="38">
        <f>'G1'!Y10+'G2'!Y10+'G3'!Y10+'G4'!Y10</f>
        <v>0</v>
      </c>
      <c r="Z10" s="35">
        <f t="shared" si="11"/>
        <v>0</v>
      </c>
      <c r="AA10" s="367">
        <f t="shared" si="14"/>
        <v>0</v>
      </c>
      <c r="AB10" s="368">
        <f t="shared" si="15"/>
        <v>0</v>
      </c>
      <c r="AC10" s="369">
        <f t="shared" si="16"/>
        <v>0</v>
      </c>
      <c r="AD10" s="327">
        <f t="shared" si="12"/>
        <v>0</v>
      </c>
      <c r="AE10" s="328">
        <f t="shared" si="13"/>
        <v>0</v>
      </c>
      <c r="AF10" s="350">
        <f t="shared" si="1"/>
        <v>0</v>
      </c>
      <c r="AG10" s="29">
        <f t="shared" si="17"/>
        <v>0</v>
      </c>
      <c r="AH10" s="47">
        <f>IF($M$3&gt;0,TGsh!C8*$M$4%+TGsh!D8*(1-$M$4%),0)</f>
        <v>0</v>
      </c>
      <c r="AI10" s="891" t="s">
        <v>46</v>
      </c>
      <c r="AJ10" s="7" t="s">
        <v>3</v>
      </c>
      <c r="AK10" s="13">
        <f>IF(AK8&gt;0,AK7/AK8,0)</f>
        <v>0</v>
      </c>
      <c r="AL10" s="44">
        <f>IF(AL8&gt;0,AL7/AL8,0)</f>
        <v>0</v>
      </c>
      <c r="AM10" s="11" t="str">
        <f>IF(AK8&gt;0,-(AK10-AL10)/AL10*100,"")</f>
        <v/>
      </c>
      <c r="AN10" s="50"/>
      <c r="AO10" s="142">
        <f t="shared" ref="AO10:AO15" si="18">AO9+1</f>
        <v>3</v>
      </c>
      <c r="AP10" s="144">
        <f>AK20</f>
        <v>0</v>
      </c>
      <c r="AQ10" s="144">
        <f>AL20</f>
        <v>0</v>
      </c>
      <c r="AR10" s="142" t="str">
        <f>AM20</f>
        <v/>
      </c>
      <c r="AS10" s="428">
        <f t="shared" si="2"/>
        <v>0</v>
      </c>
      <c r="AT10" s="428">
        <f t="shared" si="3"/>
        <v>0</v>
      </c>
      <c r="AU10" s="428">
        <f t="shared" si="4"/>
        <v>0</v>
      </c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</row>
    <row r="11" spans="1:67" ht="15.75" x14ac:dyDescent="0.25">
      <c r="A11" s="929"/>
      <c r="B11" s="53" t="str">
        <f t="shared" si="5"/>
        <v/>
      </c>
      <c r="C11" s="375">
        <f t="shared" si="6"/>
        <v>6</v>
      </c>
      <c r="D11" s="383">
        <f>'G1'!D11+'G2'!D11+'G3'!D11+'G4'!D11</f>
        <v>0</v>
      </c>
      <c r="E11" s="384">
        <f>'G1'!E11+'G2'!E11+'G3'!E11+'G4'!E11</f>
        <v>0</v>
      </c>
      <c r="F11" s="387">
        <f>'G1'!F11+'G2'!F11+'G3'!F11+'G4'!F11</f>
        <v>0</v>
      </c>
      <c r="G11" s="410">
        <f>'G1'!G11+'G2'!G11+'G3'!G11+'G4'!G11</f>
        <v>0</v>
      </c>
      <c r="H11" s="405">
        <f t="shared" si="7"/>
        <v>0</v>
      </c>
      <c r="I11" s="420">
        <f>IF($Q$1&gt;0,TGsh!E9*$M$4%+TGsh!F9*(1-$M$4%),0)</f>
        <v>0</v>
      </c>
      <c r="J11" s="303">
        <f t="shared" si="8"/>
        <v>0</v>
      </c>
      <c r="K11" s="276" t="str">
        <f>'G1'!K11</f>
        <v xml:space="preserve">Sel Acum </v>
      </c>
      <c r="L11" s="290">
        <f>L8</f>
        <v>0</v>
      </c>
      <c r="M11" s="282">
        <f>IF(M3&gt;0,L11/M3,0)</f>
        <v>0</v>
      </c>
      <c r="N11" s="283">
        <f>N8</f>
        <v>0</v>
      </c>
      <c r="O11" s="310">
        <f>'G1'!O11+'G2'!O11+'G3'!O11+'G4'!O11</f>
        <v>0</v>
      </c>
      <c r="P11" s="38">
        <f>IF('G1'!$P$5="Bulto X 40 K",'G1'!P11,'G1'!P11/40)+IF('G2'!$P$5="Bulto X 40 K",'G2'!P11,'G2'!P11/40)+IF('G3'!$P$5="Bulto X 40 K",'G3'!P11,'G3'!P11/40)+IF('G4'!$P$5="Bulto X 40 K",'G4'!P11,'G4'!P11/40)</f>
        <v>0</v>
      </c>
      <c r="Q11" s="38">
        <f>'G1'!Q11+'G2'!Q11+'G3'!Q11+'G4'!Q11</f>
        <v>0</v>
      </c>
      <c r="R11" s="315">
        <f t="shared" si="9"/>
        <v>0</v>
      </c>
      <c r="S11" s="327">
        <f>'G1'!S11+'G2'!S11+'G3'!S11+'G4'!S11</f>
        <v>0</v>
      </c>
      <c r="T11" s="328">
        <f>IF('G1'!$T$5="Bulto X 40 K",'G1'!T11,'G1'!T11/40)+IF('G2'!$T$5="Bulto X 40 K",'G2'!T11,'G2'!T11/40)+IF('G3'!$T$5="Bulto X 40 K",'G3'!T11,'G3'!T11/40)+IF('G4'!$T$5="Bulto X 40 K",'G4'!T11,'G4'!T11/40)</f>
        <v>0</v>
      </c>
      <c r="U11" s="328">
        <f>'G1'!U11+'G2'!U11+'G3'!U11+'G4'!U11</f>
        <v>0</v>
      </c>
      <c r="V11" s="35">
        <f t="shared" si="10"/>
        <v>0</v>
      </c>
      <c r="W11" s="310">
        <f>'G1'!W11+'G2'!W11+'G3'!W11+'G4'!W11</f>
        <v>0</v>
      </c>
      <c r="X11" s="38">
        <f>IF('G1'!$X$5="Bulto X 40 K",'G1'!X11,'G1'!X11/40)+IF('G2'!$X$5="Bulto X 40 K",'G2'!X11,'G2'!X11/40)+IF('G3'!$X$5="Bulto X 40 K",'G3'!X11,'G3'!X11/40)+IF('G4'!$X$5="Bulto X 40 K",'G4'!X11,'G4'!X11/40)</f>
        <v>0</v>
      </c>
      <c r="Y11" s="38">
        <f>'G1'!Y11+'G2'!Y11+'G3'!Y11+'G4'!Y11</f>
        <v>0</v>
      </c>
      <c r="Z11" s="35">
        <f t="shared" si="11"/>
        <v>0</v>
      </c>
      <c r="AA11" s="367">
        <f t="shared" si="14"/>
        <v>0</v>
      </c>
      <c r="AB11" s="368">
        <f t="shared" si="15"/>
        <v>0</v>
      </c>
      <c r="AC11" s="369">
        <f t="shared" si="16"/>
        <v>0</v>
      </c>
      <c r="AD11" s="327">
        <f t="shared" si="12"/>
        <v>0</v>
      </c>
      <c r="AE11" s="328">
        <f t="shared" si="13"/>
        <v>0</v>
      </c>
      <c r="AF11" s="350">
        <f t="shared" si="1"/>
        <v>0</v>
      </c>
      <c r="AG11" s="29">
        <f t="shared" si="17"/>
        <v>0</v>
      </c>
      <c r="AH11" s="47">
        <f>IF($M$3&gt;0,TGsh!C9*$M$4%+TGsh!D9*(1-$M$4%),0)</f>
        <v>0</v>
      </c>
      <c r="AI11" s="892"/>
      <c r="AJ11" s="7" t="s">
        <v>37</v>
      </c>
      <c r="AK11" s="12">
        <f>IF(AK10&gt;0,AK8/AK10/10,0)</f>
        <v>0</v>
      </c>
      <c r="AL11" s="45">
        <f>IF(AL10&gt;0,AL8/AL10/10,0)</f>
        <v>0</v>
      </c>
      <c r="AM11" s="11" t="str">
        <f>IF(AK11&gt;0,(AK11-AL11)/AL11*100,"")</f>
        <v/>
      </c>
      <c r="AN11" s="50"/>
      <c r="AO11" s="142">
        <f t="shared" si="18"/>
        <v>4</v>
      </c>
      <c r="AP11" s="144">
        <f>AK27</f>
        <v>0</v>
      </c>
      <c r="AQ11" s="144">
        <f>AL27</f>
        <v>0</v>
      </c>
      <c r="AR11" s="142" t="str">
        <f>AM27</f>
        <v/>
      </c>
      <c r="AS11" s="428">
        <f t="shared" si="2"/>
        <v>0</v>
      </c>
      <c r="AT11" s="428">
        <f t="shared" si="3"/>
        <v>0</v>
      </c>
      <c r="AU11" s="428">
        <f t="shared" si="4"/>
        <v>0</v>
      </c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</row>
    <row r="12" spans="1:67" ht="16.5" thickBot="1" x14ac:dyDescent="0.3">
      <c r="A12" s="930"/>
      <c r="B12" s="54" t="str">
        <f t="shared" si="5"/>
        <v/>
      </c>
      <c r="C12" s="376">
        <f t="shared" si="6"/>
        <v>7</v>
      </c>
      <c r="D12" s="388">
        <f>'G1'!D12+'G2'!D12+'G3'!D12+'G4'!D12</f>
        <v>0</v>
      </c>
      <c r="E12" s="389">
        <f>'G1'!E12+'G2'!E12+'G3'!E12+'G4'!E12</f>
        <v>0</v>
      </c>
      <c r="F12" s="390">
        <f>'G1'!F12+'G2'!F12+'G3'!F12+'G4'!F12</f>
        <v>0</v>
      </c>
      <c r="G12" s="388">
        <f>'G1'!G12+'G2'!G12+'G3'!G12+'G4'!G12</f>
        <v>0</v>
      </c>
      <c r="H12" s="406">
        <f t="shared" si="7"/>
        <v>0</v>
      </c>
      <c r="I12" s="419">
        <f>IF($Q$1&gt;0,TGsh!E10*$M$4%+TGsh!F10*(1-$M$4%),0)</f>
        <v>0</v>
      </c>
      <c r="J12" s="304">
        <f>J11-SUM(D12:E12)-F12</f>
        <v>0</v>
      </c>
      <c r="K12" s="279" t="str">
        <f>'G1'!K12</f>
        <v xml:space="preserve">Mort + Sel Acum </v>
      </c>
      <c r="L12" s="293">
        <f>SUM(L10:L11)</f>
        <v>0</v>
      </c>
      <c r="M12" s="287">
        <f>IF(M3&gt;0,L12/M3,0)</f>
        <v>0</v>
      </c>
      <c r="N12" s="288">
        <f ca="1">SUM(N10:N11)</f>
        <v>0</v>
      </c>
      <c r="O12" s="311">
        <f>'G1'!O12+'G2'!O12+'G3'!O12+'G4'!O12</f>
        <v>0</v>
      </c>
      <c r="P12" s="49">
        <f>IF('G1'!$P$5="Bulto X 40 K",'G1'!P12,'G1'!P12/40)+IF('G2'!$P$5="Bulto X 40 K",'G2'!P12,'G2'!P12/40)+IF('G3'!$P$5="Bulto X 40 K",'G3'!P12,'G3'!P12/40)+IF('G4'!$P$5="Bulto X 40 K",'G4'!P12,'G4'!P12/40)</f>
        <v>0</v>
      </c>
      <c r="Q12" s="49">
        <f>'G1'!Q12+'G2'!Q12+'G3'!Q12+'G4'!Q12</f>
        <v>0</v>
      </c>
      <c r="R12" s="316">
        <f t="shared" si="9"/>
        <v>0</v>
      </c>
      <c r="S12" s="329">
        <f>'G1'!S12+'G2'!S12+'G3'!S12+'G4'!S12</f>
        <v>0</v>
      </c>
      <c r="T12" s="330">
        <f>IF('G1'!$T$5="Bulto X 40 K",'G1'!T12,'G1'!T12/40)+IF('G2'!$T$5="Bulto X 40 K",'G2'!T12,'G2'!T12/40)+IF('G3'!$T$5="Bulto X 40 K",'G3'!T12,'G3'!T12/40)+IF('G4'!$T$5="Bulto X 40 K",'G4'!T12,'G4'!T12/40)</f>
        <v>0</v>
      </c>
      <c r="U12" s="330">
        <f>'G1'!U12+'G2'!U12+'G3'!U12+'G4'!U12</f>
        <v>0</v>
      </c>
      <c r="V12" s="324">
        <f t="shared" si="10"/>
        <v>0</v>
      </c>
      <c r="W12" s="311">
        <f>'G1'!W12+'G2'!W12+'G3'!W12+'G4'!W12</f>
        <v>0</v>
      </c>
      <c r="X12" s="49">
        <f>IF('G1'!$X$5="Bulto X 40 K",'G1'!X12,'G1'!X12/40)+IF('G2'!$X$5="Bulto X 40 K",'G2'!X12,'G2'!X12/40)+IF('G3'!$X$5="Bulto X 40 K",'G3'!X12,'G3'!X12/40)+IF('G4'!$X$5="Bulto X 40 K",'G4'!X12,'G4'!X12/40)</f>
        <v>0</v>
      </c>
      <c r="Y12" s="49">
        <f>'G1'!Y12+'G2'!Y12+'G3'!Y12+'G4'!Y12</f>
        <v>0</v>
      </c>
      <c r="Z12" s="36">
        <f t="shared" si="11"/>
        <v>0</v>
      </c>
      <c r="AA12" s="370">
        <f t="shared" si="14"/>
        <v>0</v>
      </c>
      <c r="AB12" s="371">
        <f t="shared" si="15"/>
        <v>0</v>
      </c>
      <c r="AC12" s="372">
        <f t="shared" si="16"/>
        <v>0</v>
      </c>
      <c r="AD12" s="351">
        <f t="shared" si="12"/>
        <v>0</v>
      </c>
      <c r="AE12" s="502">
        <f t="shared" si="13"/>
        <v>0</v>
      </c>
      <c r="AF12" s="352">
        <f t="shared" si="1"/>
        <v>0</v>
      </c>
      <c r="AG12" s="30">
        <f t="shared" si="17"/>
        <v>0</v>
      </c>
      <c r="AH12" s="48">
        <f>IF($M$3&gt;0,TGsh!C10*$M$4%+TGsh!D10*(1-$M$4%),0)</f>
        <v>0</v>
      </c>
      <c r="AI12" s="342">
        <f>IF($AC$1&gt;0,AK8/1000*J12/$AC$1,0)</f>
        <v>0</v>
      </c>
      <c r="AJ12" s="343" t="s">
        <v>5</v>
      </c>
      <c r="AK12" s="344">
        <f>IF(AK10&gt;0,AK11/AK10,0)</f>
        <v>0</v>
      </c>
      <c r="AL12" s="345">
        <f>IF(AL10&gt;0,AL11/AL10,0)</f>
        <v>0</v>
      </c>
      <c r="AM12" s="346" t="str">
        <f>IF(AK12&gt;0,(AK12-AL12)/AL12*100,"")</f>
        <v/>
      </c>
      <c r="AN12" s="50"/>
      <c r="AO12" s="142">
        <f t="shared" si="18"/>
        <v>5</v>
      </c>
      <c r="AP12" s="144">
        <f>AK34</f>
        <v>0</v>
      </c>
      <c r="AQ12" s="144">
        <f>AL34</f>
        <v>0</v>
      </c>
      <c r="AR12" s="142" t="str">
        <f>AM34</f>
        <v/>
      </c>
      <c r="AS12" s="428">
        <f t="shared" si="2"/>
        <v>0</v>
      </c>
      <c r="AT12" s="428">
        <f t="shared" si="3"/>
        <v>0</v>
      </c>
      <c r="AU12" s="428">
        <f t="shared" si="4"/>
        <v>0</v>
      </c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</row>
    <row r="13" spans="1:67" ht="15.75" customHeight="1" x14ac:dyDescent="0.25">
      <c r="A13" s="928" t="s">
        <v>11</v>
      </c>
      <c r="B13" s="52" t="str">
        <f t="shared" si="5"/>
        <v/>
      </c>
      <c r="C13" s="374">
        <f t="shared" si="6"/>
        <v>8</v>
      </c>
      <c r="D13" s="380">
        <f>'G1'!D13+'G2'!D13+'G3'!D13+'G4'!D13</f>
        <v>0</v>
      </c>
      <c r="E13" s="381">
        <f>'G1'!E13+'G2'!E13+'G3'!E13+'G4'!E13</f>
        <v>0</v>
      </c>
      <c r="F13" s="382">
        <f>'G1'!F13+'G2'!F13+'G3'!F13+'G4'!F13</f>
        <v>0</v>
      </c>
      <c r="G13" s="380">
        <f>'G1'!G13+'G2'!G13+'G3'!G13+'G4'!G13</f>
        <v>0</v>
      </c>
      <c r="H13" s="403">
        <f t="shared" si="0"/>
        <v>0</v>
      </c>
      <c r="I13" s="418">
        <f>IF($Q$1&gt;0,TGsh!E11*$M$4%+TGsh!F11*(1-$M$4%),0)</f>
        <v>0</v>
      </c>
      <c r="J13" s="308">
        <f t="shared" si="8"/>
        <v>0</v>
      </c>
      <c r="K13" s="294" t="str">
        <f>$K$6</f>
        <v>Item</v>
      </c>
      <c r="L13" s="295" t="str">
        <f>$L$6</f>
        <v>#</v>
      </c>
      <c r="M13" s="295" t="str">
        <f>$M$6</f>
        <v>Real %</v>
      </c>
      <c r="N13" s="296" t="str">
        <f>$N$6</f>
        <v>Guia %</v>
      </c>
      <c r="O13" s="309">
        <f>'G1'!O13+'G2'!O13+'G3'!O13+'G4'!O13</f>
        <v>0</v>
      </c>
      <c r="P13" s="37">
        <f>IF('G1'!$P$5="Bulto X 40 K",'G1'!P13,'G1'!P13/40)+IF('G2'!$P$5="Bulto X 40 K",'G2'!P13,'G2'!P13/40)+IF('G3'!$P$5="Bulto X 40 K",'G3'!P13,'G3'!P13/40)+IF('G4'!$P$5="Bulto X 40 K",'G4'!P13,'G4'!P13/40)</f>
        <v>0</v>
      </c>
      <c r="Q13" s="37">
        <f>'G1'!Q13+'G2'!Q13+'G3'!Q13+'G4'!Q13</f>
        <v>0</v>
      </c>
      <c r="R13" s="314">
        <f t="shared" si="9"/>
        <v>0</v>
      </c>
      <c r="S13" s="325">
        <f>'G1'!S13+'G2'!S13+'G3'!S13+'G4'!S13</f>
        <v>0</v>
      </c>
      <c r="T13" s="326">
        <f>IF('G1'!$T$5="Bulto X 40 K",'G1'!T13,'G1'!T13/40)+IF('G2'!$T$5="Bulto X 40 K",'G2'!T13,'G2'!T13/40)+IF('G3'!$T$5="Bulto X 40 K",'G3'!T13,'G3'!T13/40)+IF('G4'!$T$5="Bulto X 40 K",'G4'!T13,'G4'!T13/40)</f>
        <v>0</v>
      </c>
      <c r="U13" s="326">
        <f>'G1'!U13+'G2'!U13+'G3'!U13+'G4'!U13</f>
        <v>0</v>
      </c>
      <c r="V13" s="34">
        <f t="shared" si="10"/>
        <v>0</v>
      </c>
      <c r="W13" s="309">
        <f>'G1'!W13+'G2'!W13+'G3'!W13+'G4'!W13</f>
        <v>0</v>
      </c>
      <c r="X13" s="37">
        <f>IF('G1'!$X$5="Bulto X 40 K",'G1'!X13,'G1'!X13/40)+IF('G2'!$X$5="Bulto X 40 K",'G2'!X13,'G2'!X13/40)+IF('G3'!$X$5="Bulto X 40 K",'G3'!X13,'G3'!X13/40)+IF('G4'!$X$5="Bulto X 40 K",'G4'!X13,'G4'!X13/40)</f>
        <v>0</v>
      </c>
      <c r="Y13" s="37">
        <f>'G1'!Y13+'G2'!Y13+'G3'!Y13+'G4'!Y13</f>
        <v>0</v>
      </c>
      <c r="Z13" s="34">
        <f t="shared" si="11"/>
        <v>0</v>
      </c>
      <c r="AA13" s="364">
        <f t="shared" si="14"/>
        <v>0</v>
      </c>
      <c r="AB13" s="365">
        <f t="shared" si="15"/>
        <v>0</v>
      </c>
      <c r="AC13" s="366">
        <f t="shared" si="16"/>
        <v>0</v>
      </c>
      <c r="AD13" s="325">
        <f t="shared" si="12"/>
        <v>0</v>
      </c>
      <c r="AE13" s="326">
        <f t="shared" si="13"/>
        <v>0</v>
      </c>
      <c r="AF13" s="349">
        <f t="shared" si="1"/>
        <v>0</v>
      </c>
      <c r="AG13" s="28">
        <f t="shared" si="17"/>
        <v>0</v>
      </c>
      <c r="AH13" s="46">
        <f>IF($M$3&gt;0,TGsh!C11*$M$4%+TGsh!D11*(1-$M$4%),0)</f>
        <v>0</v>
      </c>
      <c r="AI13" s="347" t="str">
        <f>$AI$6</f>
        <v>Gr. Obten.</v>
      </c>
      <c r="AJ13" s="335" t="str">
        <f>$AJ$6</f>
        <v>Cons Sem</v>
      </c>
      <c r="AK13" s="3">
        <f>IF((J19+SUM(F13:F19))&gt;0,SUM(AD13:AD19)*40000/(J19+SUM(F13:F19)),0)</f>
        <v>0</v>
      </c>
      <c r="AL13" s="41">
        <f>SUMIF($AD13:$AD19,"&gt;0",AH13:AH19)</f>
        <v>0</v>
      </c>
      <c r="AM13" s="336" t="str">
        <f>IF(AK13&gt;0,(AK13-AL13)/AL13*100,"")</f>
        <v/>
      </c>
      <c r="AN13" s="50"/>
      <c r="AO13" s="142">
        <f t="shared" si="18"/>
        <v>6</v>
      </c>
      <c r="AP13" s="144">
        <f>AK41</f>
        <v>0</v>
      </c>
      <c r="AQ13" s="144">
        <f>AL41</f>
        <v>0</v>
      </c>
      <c r="AR13" s="142" t="str">
        <f>AM41</f>
        <v/>
      </c>
      <c r="AS13" s="428">
        <f t="shared" si="2"/>
        <v>0</v>
      </c>
      <c r="AT13" s="428">
        <f t="shared" si="3"/>
        <v>0</v>
      </c>
      <c r="AU13" s="428">
        <f t="shared" si="4"/>
        <v>0</v>
      </c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</row>
    <row r="14" spans="1:67" ht="16.5" thickBot="1" x14ac:dyDescent="0.3">
      <c r="A14" s="929"/>
      <c r="B14" s="53" t="str">
        <f t="shared" si="5"/>
        <v/>
      </c>
      <c r="C14" s="375">
        <f t="shared" si="6"/>
        <v>9</v>
      </c>
      <c r="D14" s="383">
        <f>'G1'!D14+'G2'!D14+'G3'!D14+'G4'!D14</f>
        <v>0</v>
      </c>
      <c r="E14" s="384">
        <f>'G1'!E14+'G2'!E14+'G3'!E14+'G4'!E14</f>
        <v>0</v>
      </c>
      <c r="F14" s="385">
        <f>'G1'!F14+'G2'!F14+'G3'!F14+'G4'!F14</f>
        <v>0</v>
      </c>
      <c r="G14" s="383">
        <f>'G1'!G14+'G2'!G14+'G3'!G14+'G4'!G14</f>
        <v>0</v>
      </c>
      <c r="H14" s="404">
        <f t="shared" si="0"/>
        <v>0</v>
      </c>
      <c r="I14" s="421">
        <f>IF($Q$1&gt;0,TGsh!E12*$M$4%+TGsh!F12*(1-$M$4%),0)</f>
        <v>0</v>
      </c>
      <c r="J14" s="302">
        <f t="shared" si="8"/>
        <v>0</v>
      </c>
      <c r="K14" s="297" t="str">
        <f>$K$7</f>
        <v xml:space="preserve">Mort Sem </v>
      </c>
      <c r="L14" s="289">
        <f>SUM(D13:D19)</f>
        <v>0</v>
      </c>
      <c r="M14" s="280">
        <f>IF(J12&gt;0,L14/J12,0)</f>
        <v>0</v>
      </c>
      <c r="N14" s="281">
        <f ca="1">SUM(TGsh!G11:G17)</f>
        <v>0</v>
      </c>
      <c r="O14" s="310">
        <f>'G1'!O14+'G2'!O14+'G3'!O14+'G4'!O14</f>
        <v>0</v>
      </c>
      <c r="P14" s="38">
        <f>IF('G1'!$P$5="Bulto X 40 K",'G1'!P14,'G1'!P14/40)+IF('G2'!$P$5="Bulto X 40 K",'G2'!P14,'G2'!P14/40)+IF('G3'!$P$5="Bulto X 40 K",'G3'!P14,'G3'!P14/40)+IF('G4'!$P$5="Bulto X 40 K",'G4'!P14,'G4'!P14/40)</f>
        <v>0</v>
      </c>
      <c r="Q14" s="38">
        <f>'G1'!Q14+'G2'!Q14+'G3'!Q14+'G4'!Q14</f>
        <v>0</v>
      </c>
      <c r="R14" s="315">
        <f t="shared" si="9"/>
        <v>0</v>
      </c>
      <c r="S14" s="327">
        <f>'G1'!S14+'G2'!S14+'G3'!S14+'G4'!S14</f>
        <v>0</v>
      </c>
      <c r="T14" s="328">
        <f>IF('G1'!$T$5="Bulto X 40 K",'G1'!T14,'G1'!T14/40)+IF('G2'!$T$5="Bulto X 40 K",'G2'!T14,'G2'!T14/40)+IF('G3'!$T$5="Bulto X 40 K",'G3'!T14,'G3'!T14/40)+IF('G4'!$T$5="Bulto X 40 K",'G4'!T14,'G4'!T14/40)</f>
        <v>0</v>
      </c>
      <c r="U14" s="328">
        <f>'G1'!U14+'G2'!U14+'G3'!U14+'G4'!U14</f>
        <v>0</v>
      </c>
      <c r="V14" s="35">
        <f t="shared" si="10"/>
        <v>0</v>
      </c>
      <c r="W14" s="310">
        <f>'G1'!W14+'G2'!W14+'G3'!W14+'G4'!W14</f>
        <v>0</v>
      </c>
      <c r="X14" s="38">
        <f>IF('G1'!$X$5="Bulto X 40 K",'G1'!X14,'G1'!X14/40)+IF('G2'!$X$5="Bulto X 40 K",'G2'!X14,'G2'!X14/40)+IF('G3'!$X$5="Bulto X 40 K",'G3'!X14,'G3'!X14/40)+IF('G4'!$X$5="Bulto X 40 K",'G4'!X14,'G4'!X14/40)</f>
        <v>0</v>
      </c>
      <c r="Y14" s="38">
        <f>'G1'!Y14+'G2'!Y14+'G3'!Y14+'G4'!Y14</f>
        <v>0</v>
      </c>
      <c r="Z14" s="35">
        <f t="shared" si="11"/>
        <v>0</v>
      </c>
      <c r="AA14" s="367">
        <f t="shared" si="14"/>
        <v>0</v>
      </c>
      <c r="AB14" s="368">
        <f t="shared" si="15"/>
        <v>0</v>
      </c>
      <c r="AC14" s="369">
        <f t="shared" si="16"/>
        <v>0</v>
      </c>
      <c r="AD14" s="327">
        <f t="shared" si="12"/>
        <v>0</v>
      </c>
      <c r="AE14" s="328">
        <f t="shared" si="13"/>
        <v>0</v>
      </c>
      <c r="AF14" s="350">
        <f t="shared" si="1"/>
        <v>0</v>
      </c>
      <c r="AG14" s="29">
        <f t="shared" si="17"/>
        <v>0</v>
      </c>
      <c r="AH14" s="47">
        <f>IF($M$3&gt;0,TGsh!C12*$M$4%+TGsh!D12*(1-$M$4%),0)</f>
        <v>0</v>
      </c>
      <c r="AI14" s="337">
        <f>IF(SUM(AD13:AD19)&gt;0,AVERAGEIF(AD13:AD19,"&gt;0",AG13:AG19),0)</f>
        <v>0</v>
      </c>
      <c r="AJ14" s="338" t="str">
        <f>$AJ$7</f>
        <v>Cons Acum</v>
      </c>
      <c r="AK14" s="339">
        <f>IF((J19+SUM(F$6:F19))&gt;0,SUM(AD$6:AD19)*40000/(J19+SUM(F$6:F19)),0)</f>
        <v>0</v>
      </c>
      <c r="AL14" s="340">
        <f>AL7+AL13</f>
        <v>0</v>
      </c>
      <c r="AM14" s="341" t="str">
        <f>IF(AK13&gt;0,(AK14-AL14)/AL14*100,"")</f>
        <v/>
      </c>
      <c r="AN14" s="50"/>
      <c r="AO14" s="142">
        <f t="shared" si="18"/>
        <v>7</v>
      </c>
      <c r="AP14" s="144">
        <f>AK48</f>
        <v>0</v>
      </c>
      <c r="AQ14" s="144">
        <f>AL48</f>
        <v>0</v>
      </c>
      <c r="AR14" s="142" t="str">
        <f>AM48</f>
        <v/>
      </c>
      <c r="AS14" s="428">
        <f t="shared" si="2"/>
        <v>0</v>
      </c>
      <c r="AT14" s="428">
        <f t="shared" si="3"/>
        <v>0</v>
      </c>
      <c r="AU14" s="428">
        <f t="shared" si="4"/>
        <v>0</v>
      </c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</row>
    <row r="15" spans="1:67" ht="16.5" thickBot="1" x14ac:dyDescent="0.3">
      <c r="A15" s="929"/>
      <c r="B15" s="53" t="str">
        <f t="shared" si="5"/>
        <v/>
      </c>
      <c r="C15" s="375">
        <f t="shared" si="6"/>
        <v>10</v>
      </c>
      <c r="D15" s="383">
        <f>'G1'!D15+'G2'!D15+'G3'!D15+'G4'!D15</f>
        <v>0</v>
      </c>
      <c r="E15" s="384">
        <f>'G1'!E15+'G2'!E15+'G3'!E15+'G4'!E15</f>
        <v>0</v>
      </c>
      <c r="F15" s="385">
        <f>'G1'!F15+'G2'!F15+'G3'!F15+'G4'!F15</f>
        <v>0</v>
      </c>
      <c r="G15" s="383">
        <f>'G1'!G15+'G2'!G15+'G3'!G15+'G4'!G15</f>
        <v>0</v>
      </c>
      <c r="H15" s="404">
        <f t="shared" si="0"/>
        <v>0</v>
      </c>
      <c r="I15" s="421">
        <f>IF($Q$1&gt;0,TGsh!E13*$M$4%+TGsh!F13*(1-$M$4%),0)</f>
        <v>0</v>
      </c>
      <c r="J15" s="302">
        <f t="shared" si="8"/>
        <v>0</v>
      </c>
      <c r="K15" s="298" t="str">
        <f>$K$8</f>
        <v xml:space="preserve">Sel Sem </v>
      </c>
      <c r="L15" s="290">
        <f>SUM(E13:E19)</f>
        <v>0</v>
      </c>
      <c r="M15" s="282">
        <f>IF(J12&gt;0,L15/J12,0)</f>
        <v>0</v>
      </c>
      <c r="N15" s="283">
        <f>IF(J12&gt;0,(('G1'!N15*'G1'!J12)+('G2'!N15*'G2'!J12))/J12,0)</f>
        <v>0</v>
      </c>
      <c r="O15" s="310">
        <f>'G1'!O15+'G2'!O15+'G3'!O15+'G4'!O15</f>
        <v>0</v>
      </c>
      <c r="P15" s="38">
        <f>IF('G1'!$P$5="Bulto X 40 K",'G1'!P15,'G1'!P15/40)+IF('G2'!$P$5="Bulto X 40 K",'G2'!P15,'G2'!P15/40)+IF('G3'!$P$5="Bulto X 40 K",'G3'!P15,'G3'!P15/40)+IF('G4'!$P$5="Bulto X 40 K",'G4'!P15,'G4'!P15/40)</f>
        <v>0</v>
      </c>
      <c r="Q15" s="38">
        <f>'G1'!Q15+'G2'!Q15+'G3'!Q15+'G4'!Q15</f>
        <v>0</v>
      </c>
      <c r="R15" s="315">
        <f t="shared" si="9"/>
        <v>0</v>
      </c>
      <c r="S15" s="327">
        <f>'G1'!S15+'G2'!S15+'G3'!S15+'G4'!S15</f>
        <v>0</v>
      </c>
      <c r="T15" s="328">
        <f>IF('G1'!$T$5="Bulto X 40 K",'G1'!T15,'G1'!T15/40)+IF('G2'!$T$5="Bulto X 40 K",'G2'!T15,'G2'!T15/40)+IF('G3'!$T$5="Bulto X 40 K",'G3'!T15,'G3'!T15/40)+IF('G4'!$T$5="Bulto X 40 K",'G4'!T15,'G4'!T15/40)</f>
        <v>0</v>
      </c>
      <c r="U15" s="328">
        <f>'G1'!U15+'G2'!U15+'G3'!U15+'G4'!U15</f>
        <v>0</v>
      </c>
      <c r="V15" s="35">
        <f t="shared" si="10"/>
        <v>0</v>
      </c>
      <c r="W15" s="310">
        <f>'G1'!W15+'G2'!W15+'G3'!W15+'G4'!W15</f>
        <v>0</v>
      </c>
      <c r="X15" s="38">
        <f>IF('G1'!$X$5="Bulto X 40 K",'G1'!X15,'G1'!X15/40)+IF('G2'!$X$5="Bulto X 40 K",'G2'!X15,'G2'!X15/40)+IF('G3'!$X$5="Bulto X 40 K",'G3'!X15,'G3'!X15/40)+IF('G4'!$X$5="Bulto X 40 K",'G4'!X15,'G4'!X15/40)</f>
        <v>0</v>
      </c>
      <c r="Y15" s="38">
        <f>'G1'!Y15+'G2'!Y15+'G3'!Y15+'G4'!Y15</f>
        <v>0</v>
      </c>
      <c r="Z15" s="35">
        <f t="shared" si="11"/>
        <v>0</v>
      </c>
      <c r="AA15" s="367">
        <f t="shared" si="14"/>
        <v>0</v>
      </c>
      <c r="AB15" s="368">
        <f t="shared" si="15"/>
        <v>0</v>
      </c>
      <c r="AC15" s="369">
        <f t="shared" si="16"/>
        <v>0</v>
      </c>
      <c r="AD15" s="327">
        <f t="shared" si="12"/>
        <v>0</v>
      </c>
      <c r="AE15" s="328">
        <f t="shared" si="13"/>
        <v>0</v>
      </c>
      <c r="AF15" s="350">
        <f t="shared" si="1"/>
        <v>0</v>
      </c>
      <c r="AG15" s="29">
        <f t="shared" si="17"/>
        <v>0</v>
      </c>
      <c r="AH15" s="47">
        <f>IF($M$3&gt;0,TGsh!C13*$M$4%+TGsh!D13*(1-$M$4%),0)</f>
        <v>0</v>
      </c>
      <c r="AI15" s="40" t="str">
        <f>$AI$8</f>
        <v>Gr. Guía</v>
      </c>
      <c r="AJ15" s="4" t="str">
        <f>$AJ$8</f>
        <v>Peso Sem</v>
      </c>
      <c r="AK15" s="39">
        <f>IF((IF('G2'!AK15&gt;0,'G2'!J19,0)+IF('G1'!AK15&gt;0,'G1'!J19,0)+IF('G3'!AK15&gt;0,'G3'!J19,0)+IF('G4'!AK15&gt;0,'G4'!J19,0))&gt;0,(('G1'!AK15*'G1'!J19)+('G2'!AK15*'G2'!J19)+('G3'!AK15*'G3'!J19)+('G4'!AK15*'G4'!J19))/(IF('G2'!AK15&gt;0,'G2'!J19,0)+IF('G1'!AK15&gt;0,'G1'!J19,0)+IF('G3'!AK15&gt;0,'G3'!J19,0)+IF('G4'!AK15&gt;0,'G4'!J19,0)),0)</f>
        <v>0</v>
      </c>
      <c r="AL15" s="42">
        <f>IF($Q$1&gt;0,I19,0)</f>
        <v>0</v>
      </c>
      <c r="AM15" s="9" t="str">
        <f>IF(AK15&gt;0,(AK15-AL15)/AL15*100,"")</f>
        <v/>
      </c>
      <c r="AN15" s="50"/>
      <c r="AO15" s="142">
        <f t="shared" si="18"/>
        <v>8</v>
      </c>
      <c r="AP15" s="144">
        <f>AK55</f>
        <v>0</v>
      </c>
      <c r="AQ15" s="144">
        <f>AL55</f>
        <v>0</v>
      </c>
      <c r="AR15" s="142" t="str">
        <f>AM55</f>
        <v/>
      </c>
      <c r="AS15" s="428">
        <f t="shared" si="2"/>
        <v>0</v>
      </c>
      <c r="AT15" s="428">
        <f t="shared" si="3"/>
        <v>0</v>
      </c>
      <c r="AU15" s="428">
        <f t="shared" si="4"/>
        <v>0</v>
      </c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</row>
    <row r="16" spans="1:67" ht="15.75" x14ac:dyDescent="0.25">
      <c r="A16" s="929"/>
      <c r="B16" s="53" t="str">
        <f t="shared" si="5"/>
        <v/>
      </c>
      <c r="C16" s="375">
        <f t="shared" si="6"/>
        <v>11</v>
      </c>
      <c r="D16" s="383">
        <f>'G1'!D16+'G2'!D16+'G3'!D16+'G4'!D16</f>
        <v>0</v>
      </c>
      <c r="E16" s="384">
        <f>'G1'!E16+'G2'!E16+'G3'!E16+'G4'!E16</f>
        <v>0</v>
      </c>
      <c r="F16" s="385">
        <f>'G1'!F16+'G2'!F16+'G3'!F16+'G4'!F16</f>
        <v>0</v>
      </c>
      <c r="G16" s="383">
        <f>'G1'!G16+'G2'!G16+'G3'!G16+'G4'!G16</f>
        <v>0</v>
      </c>
      <c r="H16" s="404">
        <f t="shared" si="0"/>
        <v>0</v>
      </c>
      <c r="I16" s="421">
        <f>IF($Q$1&gt;0,TGsh!E14*$M$4%+TGsh!F14*(1-$M$4%),0)</f>
        <v>0</v>
      </c>
      <c r="J16" s="302">
        <f t="shared" si="8"/>
        <v>0</v>
      </c>
      <c r="K16" s="299" t="str">
        <f>$K$9</f>
        <v xml:space="preserve">Mort + Sel Sem </v>
      </c>
      <c r="L16" s="291">
        <f>SUM(L14:L15)</f>
        <v>0</v>
      </c>
      <c r="M16" s="284">
        <f>IF(J12&gt;0,L16/J12,0)</f>
        <v>0</v>
      </c>
      <c r="N16" s="285">
        <f ca="1">SUM(N14:N15)</f>
        <v>0</v>
      </c>
      <c r="O16" s="310">
        <f>'G1'!O16+'G2'!O16+'G3'!O16+'G4'!O16</f>
        <v>0</v>
      </c>
      <c r="P16" s="38">
        <f>IF('G1'!$P$5="Bulto X 40 K",'G1'!P16,'G1'!P16/40)+IF('G2'!$P$5="Bulto X 40 K",'G2'!P16,'G2'!P16/40)+IF('G3'!$P$5="Bulto X 40 K",'G3'!P16,'G3'!P16/40)+IF('G4'!$P$5="Bulto X 40 K",'G4'!P16,'G4'!P16/40)</f>
        <v>0</v>
      </c>
      <c r="Q16" s="38">
        <f>'G1'!Q16+'G2'!Q16+'G3'!Q16+'G4'!Q16</f>
        <v>0</v>
      </c>
      <c r="R16" s="315">
        <f t="shared" si="9"/>
        <v>0</v>
      </c>
      <c r="S16" s="327">
        <f>'G1'!S16+'G2'!S16+'G3'!S16+'G4'!S16</f>
        <v>0</v>
      </c>
      <c r="T16" s="328">
        <f>IF('G1'!$T$5="Bulto X 40 K",'G1'!T16,'G1'!T16/40)+IF('G2'!$T$5="Bulto X 40 K",'G2'!T16,'G2'!T16/40)+IF('G3'!$T$5="Bulto X 40 K",'G3'!T16,'G3'!T16/40)+IF('G4'!$T$5="Bulto X 40 K",'G4'!T16,'G4'!T16/40)</f>
        <v>0</v>
      </c>
      <c r="U16" s="328">
        <f>'G1'!U16+'G2'!U16+'G3'!U16+'G4'!U16</f>
        <v>0</v>
      </c>
      <c r="V16" s="35">
        <f t="shared" si="10"/>
        <v>0</v>
      </c>
      <c r="W16" s="310">
        <f>'G1'!W16+'G2'!W16+'G3'!W16+'G4'!W16</f>
        <v>0</v>
      </c>
      <c r="X16" s="38">
        <f>IF('G1'!$X$5="Bulto X 40 K",'G1'!X16,'G1'!X16/40)+IF('G2'!$X$5="Bulto X 40 K",'G2'!X16,'G2'!X16/40)+IF('G3'!$X$5="Bulto X 40 K",'G3'!X16,'G3'!X16/40)+IF('G4'!$X$5="Bulto X 40 K",'G4'!X16,'G4'!X16/40)</f>
        <v>0</v>
      </c>
      <c r="Y16" s="38">
        <f>'G1'!Y16+'G2'!Y16+'G3'!Y16+'G4'!Y16</f>
        <v>0</v>
      </c>
      <c r="Z16" s="35">
        <f t="shared" si="11"/>
        <v>0</v>
      </c>
      <c r="AA16" s="367">
        <f t="shared" si="14"/>
        <v>0</v>
      </c>
      <c r="AB16" s="368">
        <f t="shared" si="15"/>
        <v>0</v>
      </c>
      <c r="AC16" s="369">
        <f t="shared" si="16"/>
        <v>0</v>
      </c>
      <c r="AD16" s="327">
        <f t="shared" si="12"/>
        <v>0</v>
      </c>
      <c r="AE16" s="328">
        <f t="shared" si="13"/>
        <v>0</v>
      </c>
      <c r="AF16" s="350">
        <f t="shared" si="1"/>
        <v>0</v>
      </c>
      <c r="AG16" s="29">
        <f t="shared" si="17"/>
        <v>0</v>
      </c>
      <c r="AH16" s="47">
        <f>IF($M$3&gt;0,TGsh!C14*$M$4%+TGsh!D14*(1-$M$4%),0)</f>
        <v>0</v>
      </c>
      <c r="AI16" s="337">
        <f>IF(SUM(AD13:AD19)&gt;0,AVERAGEIF(AD13:AD19,"&gt;0",AH13:AH19),0)</f>
        <v>0</v>
      </c>
      <c r="AJ16" s="5" t="str">
        <f>AJ9</f>
        <v>Gan Dia</v>
      </c>
      <c r="AK16" s="6">
        <f>IF(AND(AK8&gt;0,AK15&gt;0),(AK15-AK8)/7,0)</f>
        <v>0</v>
      </c>
      <c r="AL16" s="43">
        <f>IF(AND(AL8&gt;0,AL15&gt;0),(AL15-AL8)/7,0)</f>
        <v>0</v>
      </c>
      <c r="AM16" s="10" t="str">
        <f>IF(AK16&gt;0,(AK16-AL16)/AL16*100,"")</f>
        <v/>
      </c>
      <c r="AN16" s="50"/>
      <c r="AO16" s="143" t="s">
        <v>9</v>
      </c>
      <c r="AP16" s="143" t="s">
        <v>27</v>
      </c>
      <c r="AQ16" s="143" t="s">
        <v>28</v>
      </c>
      <c r="AR16" s="143" t="s">
        <v>14</v>
      </c>
      <c r="AS16" s="428">
        <f t="shared" si="2"/>
        <v>0</v>
      </c>
      <c r="AT16" s="428">
        <f t="shared" si="3"/>
        <v>0</v>
      </c>
      <c r="AU16" s="428">
        <f t="shared" si="4"/>
        <v>0</v>
      </c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</row>
    <row r="17" spans="1:58" ht="15.75" customHeight="1" x14ac:dyDescent="0.25">
      <c r="A17" s="929"/>
      <c r="B17" s="53" t="str">
        <f t="shared" si="5"/>
        <v/>
      </c>
      <c r="C17" s="375">
        <f t="shared" si="6"/>
        <v>12</v>
      </c>
      <c r="D17" s="383">
        <f>'G1'!D17+'G2'!D17+'G3'!D17+'G4'!D17</f>
        <v>0</v>
      </c>
      <c r="E17" s="384">
        <f>'G1'!E17+'G2'!E17+'G3'!E17+'G4'!E17</f>
        <v>0</v>
      </c>
      <c r="F17" s="385">
        <f>'G1'!F17+'G2'!F17+'G3'!F17+'G4'!F17</f>
        <v>0</v>
      </c>
      <c r="G17" s="383">
        <f>'G1'!G17+'G2'!G17+'G3'!G17+'G4'!G17</f>
        <v>0</v>
      </c>
      <c r="H17" s="404">
        <f t="shared" si="0"/>
        <v>0</v>
      </c>
      <c r="I17" s="421">
        <f>IF($Q$1&gt;0,TGsh!E15*$M$4%+TGsh!F15*(1-$M$4%),0)</f>
        <v>0</v>
      </c>
      <c r="J17" s="302">
        <f t="shared" si="8"/>
        <v>0</v>
      </c>
      <c r="K17" s="300" t="str">
        <f>$K$10</f>
        <v xml:space="preserve">Mort Acum </v>
      </c>
      <c r="L17" s="292">
        <f>L14+L10</f>
        <v>0</v>
      </c>
      <c r="M17" s="286">
        <f>IF($M$3&gt;0,L17/$M$3,0)</f>
        <v>0</v>
      </c>
      <c r="N17" s="255">
        <f ca="1">TGsh!H17</f>
        <v>0</v>
      </c>
      <c r="O17" s="310">
        <f>'G1'!O17+'G2'!O17+'G3'!O17+'G4'!O17</f>
        <v>0</v>
      </c>
      <c r="P17" s="38">
        <f>IF('G1'!$P$5="Bulto X 40 K",'G1'!P17,'G1'!P17/40)+IF('G2'!$P$5="Bulto X 40 K",'G2'!P17,'G2'!P17/40)+IF('G3'!$P$5="Bulto X 40 K",'G3'!P17,'G3'!P17/40)+IF('G4'!$P$5="Bulto X 40 K",'G4'!P17,'G4'!P17/40)</f>
        <v>0</v>
      </c>
      <c r="Q17" s="38">
        <f>'G1'!Q17+'G2'!Q17+'G3'!Q17+'G4'!Q17</f>
        <v>0</v>
      </c>
      <c r="R17" s="315">
        <f t="shared" si="9"/>
        <v>0</v>
      </c>
      <c r="S17" s="327">
        <f>'G1'!S17+'G2'!S17+'G3'!S17+'G4'!S17</f>
        <v>0</v>
      </c>
      <c r="T17" s="328">
        <f>IF('G1'!$T$5="Bulto X 40 K",'G1'!T17,'G1'!T17/40)+IF('G2'!$T$5="Bulto X 40 K",'G2'!T17,'G2'!T17/40)+IF('G3'!$T$5="Bulto X 40 K",'G3'!T17,'G3'!T17/40)+IF('G4'!$T$5="Bulto X 40 K",'G4'!T17,'G4'!T17/40)</f>
        <v>0</v>
      </c>
      <c r="U17" s="328">
        <f>'G1'!U17+'G2'!U17+'G3'!U17+'G4'!U17</f>
        <v>0</v>
      </c>
      <c r="V17" s="35">
        <f t="shared" si="10"/>
        <v>0</v>
      </c>
      <c r="W17" s="310">
        <f>'G1'!W17+'G2'!W17+'G3'!W17+'G4'!W17</f>
        <v>0</v>
      </c>
      <c r="X17" s="38">
        <f>IF('G1'!$X$5="Bulto X 40 K",'G1'!X17,'G1'!X17/40)+IF('G2'!$X$5="Bulto X 40 K",'G2'!X17,'G2'!X17/40)+IF('G3'!$X$5="Bulto X 40 K",'G3'!X17,'G3'!X17/40)+IF('G4'!$X$5="Bulto X 40 K",'G4'!X17,'G4'!X17/40)</f>
        <v>0</v>
      </c>
      <c r="Y17" s="38">
        <f>'G1'!Y17+'G2'!Y17+'G3'!Y17+'G4'!Y17</f>
        <v>0</v>
      </c>
      <c r="Z17" s="35">
        <f t="shared" si="11"/>
        <v>0</v>
      </c>
      <c r="AA17" s="367">
        <f t="shared" si="14"/>
        <v>0</v>
      </c>
      <c r="AB17" s="368">
        <f t="shared" si="15"/>
        <v>0</v>
      </c>
      <c r="AC17" s="369">
        <f t="shared" si="16"/>
        <v>0</v>
      </c>
      <c r="AD17" s="327">
        <f t="shared" si="12"/>
        <v>0</v>
      </c>
      <c r="AE17" s="328">
        <f t="shared" si="13"/>
        <v>0</v>
      </c>
      <c r="AF17" s="350">
        <f t="shared" si="1"/>
        <v>0</v>
      </c>
      <c r="AG17" s="29">
        <f t="shared" si="17"/>
        <v>0</v>
      </c>
      <c r="AH17" s="47">
        <f>IF($M$3&gt;0,TGsh!C15*$M$4%+TGsh!D15*(1-$M$4%),0)</f>
        <v>0</v>
      </c>
      <c r="AI17" s="891" t="s">
        <v>46</v>
      </c>
      <c r="AJ17" s="7" t="str">
        <f>$AJ$10</f>
        <v>Conversión</v>
      </c>
      <c r="AK17" s="13">
        <f>IF(AK15&gt;0,AK14/AK15,0)</f>
        <v>0</v>
      </c>
      <c r="AL17" s="44">
        <f>IF(AL15&gt;0,AL14/AL15,0)</f>
        <v>0</v>
      </c>
      <c r="AM17" s="11" t="str">
        <f>IF(AK15&gt;0,-(AK17-AL17)/AL17*100,"")</f>
        <v/>
      </c>
      <c r="AN17" s="50"/>
      <c r="AO17" s="142">
        <v>1</v>
      </c>
      <c r="AP17" s="145">
        <f>AK7</f>
        <v>0</v>
      </c>
      <c r="AQ17" s="145">
        <f>AL7</f>
        <v>0</v>
      </c>
      <c r="AR17" s="142" t="str">
        <f>AM7</f>
        <v/>
      </c>
      <c r="AS17" s="428">
        <f t="shared" si="2"/>
        <v>0</v>
      </c>
      <c r="AT17" s="428">
        <f t="shared" si="3"/>
        <v>0</v>
      </c>
      <c r="AU17" s="428">
        <f t="shared" si="4"/>
        <v>0</v>
      </c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</row>
    <row r="18" spans="1:58" ht="15.75" x14ac:dyDescent="0.25">
      <c r="A18" s="929"/>
      <c r="B18" s="53" t="str">
        <f t="shared" si="5"/>
        <v/>
      </c>
      <c r="C18" s="375">
        <f t="shared" si="6"/>
        <v>13</v>
      </c>
      <c r="D18" s="383">
        <f>'G1'!D18+'G2'!D18+'G3'!D18+'G4'!D18</f>
        <v>0</v>
      </c>
      <c r="E18" s="384">
        <f>'G1'!E18+'G2'!E18+'G3'!E18+'G4'!E18</f>
        <v>0</v>
      </c>
      <c r="F18" s="385">
        <f>'G1'!F18+'G2'!F18+'G3'!F18+'G4'!F18</f>
        <v>0</v>
      </c>
      <c r="G18" s="410">
        <f>'G1'!G18+'G2'!G18+'G3'!G18+'G4'!G18</f>
        <v>0</v>
      </c>
      <c r="H18" s="405">
        <f t="shared" si="0"/>
        <v>0</v>
      </c>
      <c r="I18" s="420">
        <f>IF($Q$1&gt;0,TGsh!E16*$M$4%+TGsh!F16*(1-$M$4%),0)</f>
        <v>0</v>
      </c>
      <c r="J18" s="303">
        <f t="shared" si="8"/>
        <v>0</v>
      </c>
      <c r="K18" s="298" t="str">
        <f>$K$11</f>
        <v xml:space="preserve">Sel Acum </v>
      </c>
      <c r="L18" s="290">
        <f>L15+L11</f>
        <v>0</v>
      </c>
      <c r="M18" s="282">
        <f>IF($M$3&gt;0,L18/$M$3,0)</f>
        <v>0</v>
      </c>
      <c r="N18" s="283">
        <f>N15+N11</f>
        <v>0</v>
      </c>
      <c r="O18" s="310">
        <f>'G1'!O18+'G2'!O18+'G3'!O18+'G4'!O18</f>
        <v>0</v>
      </c>
      <c r="P18" s="38">
        <f>IF('G1'!$P$5="Bulto X 40 K",'G1'!P18,'G1'!P18/40)+IF('G2'!$P$5="Bulto X 40 K",'G2'!P18,'G2'!P18/40)+IF('G3'!$P$5="Bulto X 40 K",'G3'!P18,'G3'!P18/40)+IF('G4'!$P$5="Bulto X 40 K",'G4'!P18,'G4'!P18/40)</f>
        <v>0</v>
      </c>
      <c r="Q18" s="38">
        <f>'G1'!Q18+'G2'!Q18+'G3'!Q18+'G4'!Q18</f>
        <v>0</v>
      </c>
      <c r="R18" s="315">
        <f t="shared" si="9"/>
        <v>0</v>
      </c>
      <c r="S18" s="327">
        <f>'G1'!S18+'G2'!S18+'G3'!S18+'G4'!S18</f>
        <v>0</v>
      </c>
      <c r="T18" s="328">
        <f>IF('G1'!$T$5="Bulto X 40 K",'G1'!T18,'G1'!T18/40)+IF('G2'!$T$5="Bulto X 40 K",'G2'!T18,'G2'!T18/40)+IF('G3'!$T$5="Bulto X 40 K",'G3'!T18,'G3'!T18/40)+IF('G4'!$T$5="Bulto X 40 K",'G4'!T18,'G4'!T18/40)</f>
        <v>0</v>
      </c>
      <c r="U18" s="328">
        <f>'G1'!U18+'G2'!U18+'G3'!U18+'G4'!U18</f>
        <v>0</v>
      </c>
      <c r="V18" s="35">
        <f t="shared" si="10"/>
        <v>0</v>
      </c>
      <c r="W18" s="310">
        <f>'G1'!W18+'G2'!W18+'G3'!W18+'G4'!W18</f>
        <v>0</v>
      </c>
      <c r="X18" s="38">
        <f>IF('G1'!$X$5="Bulto X 40 K",'G1'!X18,'G1'!X18/40)+IF('G2'!$X$5="Bulto X 40 K",'G2'!X18,'G2'!X18/40)+IF('G3'!$X$5="Bulto X 40 K",'G3'!X18,'G3'!X18/40)+IF('G4'!$X$5="Bulto X 40 K",'G4'!X18,'G4'!X18/40)</f>
        <v>0</v>
      </c>
      <c r="Y18" s="38">
        <f>'G1'!Y18+'G2'!Y18+'G3'!Y18+'G4'!Y18</f>
        <v>0</v>
      </c>
      <c r="Z18" s="35">
        <f t="shared" si="11"/>
        <v>0</v>
      </c>
      <c r="AA18" s="367">
        <f t="shared" si="14"/>
        <v>0</v>
      </c>
      <c r="AB18" s="368">
        <f t="shared" si="15"/>
        <v>0</v>
      </c>
      <c r="AC18" s="369">
        <f t="shared" si="16"/>
        <v>0</v>
      </c>
      <c r="AD18" s="327">
        <f t="shared" si="12"/>
        <v>0</v>
      </c>
      <c r="AE18" s="328">
        <f t="shared" si="13"/>
        <v>0</v>
      </c>
      <c r="AF18" s="350">
        <f t="shared" si="1"/>
        <v>0</v>
      </c>
      <c r="AG18" s="29">
        <f t="shared" si="17"/>
        <v>0</v>
      </c>
      <c r="AH18" s="47">
        <f>IF($M$3&gt;0,TGsh!C16*$M$4%+TGsh!D16*(1-$M$4%),0)</f>
        <v>0</v>
      </c>
      <c r="AI18" s="892"/>
      <c r="AJ18" s="7" t="str">
        <f>$AJ$11</f>
        <v>Ef. Alim</v>
      </c>
      <c r="AK18" s="12">
        <f>IF(AK17&gt;0,AK15/AK17/10,0)</f>
        <v>0</v>
      </c>
      <c r="AL18" s="45">
        <f>IF(AL17&gt;0,AL15/AL17/10,0)</f>
        <v>0</v>
      </c>
      <c r="AM18" s="11" t="str">
        <f>IF(AK18&gt;0,(AK18-AL18)/AL18*100,"")</f>
        <v/>
      </c>
      <c r="AN18" s="50"/>
      <c r="AO18" s="142">
        <f>AO17+1</f>
        <v>2</v>
      </c>
      <c r="AP18" s="145">
        <f>AK14</f>
        <v>0</v>
      </c>
      <c r="AQ18" s="145">
        <f>AL14</f>
        <v>0</v>
      </c>
      <c r="AR18" s="142" t="str">
        <f>AM14</f>
        <v/>
      </c>
      <c r="AS18" s="428">
        <f t="shared" si="2"/>
        <v>0</v>
      </c>
      <c r="AT18" s="428">
        <f t="shared" si="3"/>
        <v>0</v>
      </c>
      <c r="AU18" s="428">
        <f t="shared" si="4"/>
        <v>0</v>
      </c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</row>
    <row r="19" spans="1:58" ht="16.5" thickBot="1" x14ac:dyDescent="0.3">
      <c r="A19" s="930"/>
      <c r="B19" s="54" t="str">
        <f t="shared" si="5"/>
        <v/>
      </c>
      <c r="C19" s="376">
        <f t="shared" si="6"/>
        <v>14</v>
      </c>
      <c r="D19" s="388">
        <f>'G1'!D19+'G2'!D19+'G3'!D19+'G4'!D19</f>
        <v>0</v>
      </c>
      <c r="E19" s="389">
        <f>'G1'!E19+'G2'!E19+'G3'!E19+'G4'!E19</f>
        <v>0</v>
      </c>
      <c r="F19" s="390">
        <f>'G1'!F19+'G2'!F19+'G3'!F19+'G4'!F19</f>
        <v>0</v>
      </c>
      <c r="G19" s="388">
        <f>'G1'!G19+'G2'!G19+'G3'!G19+'G4'!G19</f>
        <v>0</v>
      </c>
      <c r="H19" s="406">
        <f t="shared" si="0"/>
        <v>0</v>
      </c>
      <c r="I19" s="419">
        <f>IF($Q$1&gt;0,TGsh!E17*$M$4%+TGsh!F17*(1-$M$4%),0)</f>
        <v>0</v>
      </c>
      <c r="J19" s="304">
        <f t="shared" si="8"/>
        <v>0</v>
      </c>
      <c r="K19" s="301" t="str">
        <f>$K$12</f>
        <v xml:space="preserve">Mort + Sel Acum </v>
      </c>
      <c r="L19" s="293">
        <f>L16+L12</f>
        <v>0</v>
      </c>
      <c r="M19" s="287">
        <f>IF($M$3&gt;0,L19/$M$3,0)</f>
        <v>0</v>
      </c>
      <c r="N19" s="288">
        <f ca="1">SUM(N17:N18)</f>
        <v>0</v>
      </c>
      <c r="O19" s="311">
        <f>'G1'!O19+'G2'!O19+'G3'!O19+'G4'!O19</f>
        <v>0</v>
      </c>
      <c r="P19" s="49">
        <f>IF('G1'!$P$5="Bulto X 40 K",'G1'!P19,'G1'!P19/40)+IF('G2'!$P$5="Bulto X 40 K",'G2'!P19,'G2'!P19/40)+IF('G3'!$P$5="Bulto X 40 K",'G3'!P19,'G3'!P19/40)+IF('G4'!$P$5="Bulto X 40 K",'G4'!P19,'G4'!P19/40)</f>
        <v>0</v>
      </c>
      <c r="Q19" s="49">
        <f>'G1'!Q19+'G2'!Q19+'G3'!Q19+'G4'!Q19</f>
        <v>0</v>
      </c>
      <c r="R19" s="316">
        <f t="shared" si="9"/>
        <v>0</v>
      </c>
      <c r="S19" s="329">
        <f>'G1'!S19+'G2'!S19+'G3'!S19+'G4'!S19</f>
        <v>0</v>
      </c>
      <c r="T19" s="330">
        <f>IF('G1'!$T$5="Bulto X 40 K",'G1'!T19,'G1'!T19/40)+IF('G2'!$T$5="Bulto X 40 K",'G2'!T19,'G2'!T19/40)+IF('G3'!$T$5="Bulto X 40 K",'G3'!T19,'G3'!T19/40)+IF('G4'!$T$5="Bulto X 40 K",'G4'!T19,'G4'!T19/40)</f>
        <v>0</v>
      </c>
      <c r="U19" s="330">
        <f>'G1'!U19+'G2'!U19+'G3'!U19+'G4'!U19</f>
        <v>0</v>
      </c>
      <c r="V19" s="324">
        <f t="shared" si="10"/>
        <v>0</v>
      </c>
      <c r="W19" s="311">
        <f>'G1'!W19+'G2'!W19+'G3'!W19+'G4'!W19</f>
        <v>0</v>
      </c>
      <c r="X19" s="49">
        <f>IF('G1'!$X$5="Bulto X 40 K",'G1'!X19,'G1'!X19/40)+IF('G2'!$X$5="Bulto X 40 K",'G2'!X19,'G2'!X19/40)+IF('G3'!$X$5="Bulto X 40 K",'G3'!X19,'G3'!X19/40)+IF('G4'!$X$5="Bulto X 40 K",'G4'!X19,'G4'!X19/40)</f>
        <v>0</v>
      </c>
      <c r="Y19" s="49">
        <f>'G1'!Y19+'G2'!Y19+'G3'!Y19+'G4'!Y19</f>
        <v>0</v>
      </c>
      <c r="Z19" s="36">
        <f t="shared" si="11"/>
        <v>0</v>
      </c>
      <c r="AA19" s="370">
        <f t="shared" si="14"/>
        <v>0</v>
      </c>
      <c r="AB19" s="371">
        <f t="shared" si="15"/>
        <v>0</v>
      </c>
      <c r="AC19" s="372">
        <f t="shared" si="16"/>
        <v>0</v>
      </c>
      <c r="AD19" s="351">
        <f t="shared" si="12"/>
        <v>0</v>
      </c>
      <c r="AE19" s="502">
        <f t="shared" si="13"/>
        <v>0</v>
      </c>
      <c r="AF19" s="352">
        <f t="shared" si="1"/>
        <v>0</v>
      </c>
      <c r="AG19" s="30">
        <f t="shared" si="17"/>
        <v>0</v>
      </c>
      <c r="AH19" s="48">
        <f>IF($M$3&gt;0,TGsh!C17*$M$4%+TGsh!D17*(1-$M$4%),0)</f>
        <v>0</v>
      </c>
      <c r="AI19" s="342">
        <f>IF($AC$1&gt;0,AK15/1000*J19/$AC$1,0)</f>
        <v>0</v>
      </c>
      <c r="AJ19" s="343" t="str">
        <f>$AJ$12</f>
        <v>Fact. IP</v>
      </c>
      <c r="AK19" s="344">
        <f>IF(AK17&gt;0,AK18/AK17,0)</f>
        <v>0</v>
      </c>
      <c r="AL19" s="345">
        <f>IF(AL17&gt;0,AL18/AL17,0)</f>
        <v>0</v>
      </c>
      <c r="AM19" s="346" t="str">
        <f>IF(AK19&gt;0,(AK19-AL19)/AL19*100,"")</f>
        <v/>
      </c>
      <c r="AN19" s="50"/>
      <c r="AO19" s="142">
        <f t="shared" ref="AO19:AO24" si="19">AO18+1</f>
        <v>3</v>
      </c>
      <c r="AP19" s="145">
        <f>AK21</f>
        <v>0</v>
      </c>
      <c r="AQ19" s="145">
        <f>AL21</f>
        <v>0</v>
      </c>
      <c r="AR19" s="142" t="str">
        <f>AM21</f>
        <v/>
      </c>
      <c r="AS19" s="428">
        <f t="shared" si="2"/>
        <v>0</v>
      </c>
      <c r="AT19" s="428">
        <f t="shared" si="3"/>
        <v>0</v>
      </c>
      <c r="AU19" s="428">
        <f t="shared" si="4"/>
        <v>0</v>
      </c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</row>
    <row r="20" spans="1:58" ht="15.75" customHeight="1" x14ac:dyDescent="0.25">
      <c r="A20" s="928" t="s">
        <v>12</v>
      </c>
      <c r="B20" s="52" t="str">
        <f t="shared" si="5"/>
        <v/>
      </c>
      <c r="C20" s="374">
        <f t="shared" si="6"/>
        <v>15</v>
      </c>
      <c r="D20" s="380">
        <f>'G1'!D20+'G2'!D20+'G3'!D20+'G4'!D20</f>
        <v>0</v>
      </c>
      <c r="E20" s="381">
        <f>'G1'!E20+'G2'!E20+'G3'!E20+'G4'!E20</f>
        <v>0</v>
      </c>
      <c r="F20" s="382">
        <f>'G1'!F20+'G2'!F20+'G3'!F20+'G4'!F20</f>
        <v>0</v>
      </c>
      <c r="G20" s="380">
        <f>'G1'!G20+'G2'!G20+'G3'!G20+'G4'!G20</f>
        <v>0</v>
      </c>
      <c r="H20" s="403">
        <f t="shared" si="0"/>
        <v>0</v>
      </c>
      <c r="I20" s="418">
        <f>IF($Q$1&gt;0,TGsh!E18*$M$4%+TGsh!F18*(1-$M$4%),0)</f>
        <v>0</v>
      </c>
      <c r="J20" s="308">
        <f t="shared" si="8"/>
        <v>0</v>
      </c>
      <c r="K20" s="294" t="str">
        <f>$K$6</f>
        <v>Item</v>
      </c>
      <c r="L20" s="295" t="str">
        <f>$L$6</f>
        <v>#</v>
      </c>
      <c r="M20" s="295" t="str">
        <f>$M$6</f>
        <v>Real %</v>
      </c>
      <c r="N20" s="296" t="str">
        <f t="shared" ref="N20" si="20">$N$6</f>
        <v>Guia %</v>
      </c>
      <c r="O20" s="309">
        <f>'G1'!O20+'G2'!O20+'G3'!O20+'G4'!O20</f>
        <v>0</v>
      </c>
      <c r="P20" s="37">
        <f>IF('G1'!$P$5="Bulto X 40 K",'G1'!P20,'G1'!P20/40)+IF('G2'!$P$5="Bulto X 40 K",'G2'!P20,'G2'!P20/40)+IF('G3'!$P$5="Bulto X 40 K",'G3'!P20,'G3'!P20/40)+IF('G4'!$P$5="Bulto X 40 K",'G4'!P20,'G4'!P20/40)</f>
        <v>0</v>
      </c>
      <c r="Q20" s="37">
        <f>'G1'!Q20+'G2'!Q20+'G3'!Q20+'G4'!Q20</f>
        <v>0</v>
      </c>
      <c r="R20" s="314">
        <f t="shared" si="9"/>
        <v>0</v>
      </c>
      <c r="S20" s="325">
        <f>'G1'!S20+'G2'!S20+'G3'!S20+'G4'!S20</f>
        <v>0</v>
      </c>
      <c r="T20" s="326">
        <f>IF('G1'!$T$5="Bulto X 40 K",'G1'!T20,'G1'!T20/40)+IF('G2'!$T$5="Bulto X 40 K",'G2'!T20,'G2'!T20/40)+IF('G3'!$T$5="Bulto X 40 K",'G3'!T20,'G3'!T20/40)+IF('G4'!$T$5="Bulto X 40 K",'G4'!T20,'G4'!T20/40)</f>
        <v>0</v>
      </c>
      <c r="U20" s="326">
        <f>'G1'!U20+'G2'!U20+'G3'!U20+'G4'!U20</f>
        <v>0</v>
      </c>
      <c r="V20" s="34">
        <f t="shared" si="10"/>
        <v>0</v>
      </c>
      <c r="W20" s="309">
        <f>'G1'!W20+'G2'!W20+'G3'!W20+'G4'!W20</f>
        <v>0</v>
      </c>
      <c r="X20" s="37">
        <f>IF('G1'!$X$5="Bulto X 40 K",'G1'!X20,'G1'!X20/40)+IF('G2'!$X$5="Bulto X 40 K",'G2'!X20,'G2'!X20/40)+IF('G3'!$X$5="Bulto X 40 K",'G3'!X20,'G3'!X20/40)+IF('G4'!$X$5="Bulto X 40 K",'G4'!X20,'G4'!X20/40)</f>
        <v>0</v>
      </c>
      <c r="Y20" s="37">
        <f>'G1'!Y20+'G2'!Y20+'G3'!Y20+'G4'!Y20</f>
        <v>0</v>
      </c>
      <c r="Z20" s="34">
        <f t="shared" si="11"/>
        <v>0</v>
      </c>
      <c r="AA20" s="364">
        <f t="shared" si="14"/>
        <v>0</v>
      </c>
      <c r="AB20" s="365">
        <f t="shared" si="15"/>
        <v>0</v>
      </c>
      <c r="AC20" s="366">
        <f t="shared" si="16"/>
        <v>0</v>
      </c>
      <c r="AD20" s="325">
        <f t="shared" si="12"/>
        <v>0</v>
      </c>
      <c r="AE20" s="326">
        <f t="shared" si="13"/>
        <v>0</v>
      </c>
      <c r="AF20" s="349">
        <f t="shared" si="1"/>
        <v>0</v>
      </c>
      <c r="AG20" s="28">
        <f t="shared" si="17"/>
        <v>0</v>
      </c>
      <c r="AH20" s="46">
        <f>IF($M$3&gt;0,TGsh!C18*$M$4%+TGsh!D18*(1-$M$4%),0)</f>
        <v>0</v>
      </c>
      <c r="AI20" s="347" t="str">
        <f>$AI$6</f>
        <v>Gr. Obten.</v>
      </c>
      <c r="AJ20" s="335" t="str">
        <f>$AJ$6</f>
        <v>Cons Sem</v>
      </c>
      <c r="AK20" s="3">
        <f>IF((J26+SUM(F20:F26))&gt;0,SUM(AD20:AD26)*40000/(J26+SUM(F20:F26)),0)</f>
        <v>0</v>
      </c>
      <c r="AL20" s="41">
        <f>SUMIF($AD20:$AD26,"&gt;0",AH20:AH26)</f>
        <v>0</v>
      </c>
      <c r="AM20" s="336" t="str">
        <f>IF(AK20&gt;0,(AK20-AL20)/AL20*100,"")</f>
        <v/>
      </c>
      <c r="AN20" s="50"/>
      <c r="AO20" s="142">
        <f t="shared" si="19"/>
        <v>4</v>
      </c>
      <c r="AP20" s="145">
        <f>AK28</f>
        <v>0</v>
      </c>
      <c r="AQ20" s="145">
        <f>AL28</f>
        <v>0</v>
      </c>
      <c r="AR20" s="142" t="str">
        <f>AM28</f>
        <v/>
      </c>
      <c r="AS20" s="428">
        <f t="shared" si="2"/>
        <v>0</v>
      </c>
      <c r="AT20" s="428">
        <f t="shared" si="3"/>
        <v>0</v>
      </c>
      <c r="AU20" s="428">
        <f t="shared" si="4"/>
        <v>0</v>
      </c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</row>
    <row r="21" spans="1:58" ht="16.5" thickBot="1" x14ac:dyDescent="0.3">
      <c r="A21" s="929"/>
      <c r="B21" s="53" t="str">
        <f t="shared" si="5"/>
        <v/>
      </c>
      <c r="C21" s="375">
        <f t="shared" si="6"/>
        <v>16</v>
      </c>
      <c r="D21" s="383">
        <f>'G1'!D21+'G2'!D21+'G3'!D21+'G4'!D21</f>
        <v>0</v>
      </c>
      <c r="E21" s="384">
        <f>'G1'!E21+'G2'!E21+'G3'!E21+'G4'!E21</f>
        <v>0</v>
      </c>
      <c r="F21" s="385">
        <f>'G1'!F21+'G2'!F21+'G3'!F21+'G4'!F21</f>
        <v>0</v>
      </c>
      <c r="G21" s="383">
        <f>'G1'!G21+'G2'!G21+'G3'!G21+'G4'!G21</f>
        <v>0</v>
      </c>
      <c r="H21" s="404">
        <f t="shared" si="0"/>
        <v>0</v>
      </c>
      <c r="I21" s="421">
        <f>IF($Q$1&gt;0,TGsh!E19*$M$4%+TGsh!F19*(1-$M$4%),0)</f>
        <v>0</v>
      </c>
      <c r="J21" s="302">
        <f t="shared" si="8"/>
        <v>0</v>
      </c>
      <c r="K21" s="297" t="str">
        <f>$K$7</f>
        <v xml:space="preserve">Mort Sem </v>
      </c>
      <c r="L21" s="289">
        <f>SUM(D20:D26)</f>
        <v>0</v>
      </c>
      <c r="M21" s="280">
        <f>IF(J19&gt;0,L21/J19,0)</f>
        <v>0</v>
      </c>
      <c r="N21" s="281">
        <f ca="1">SUM(TGsh!G18:G24)</f>
        <v>0</v>
      </c>
      <c r="O21" s="310">
        <f>'G1'!O21+'G2'!O21+'G3'!O21+'G4'!O21</f>
        <v>0</v>
      </c>
      <c r="P21" s="38">
        <f>IF('G1'!$P$5="Bulto X 40 K",'G1'!P21,'G1'!P21/40)+IF('G2'!$P$5="Bulto X 40 K",'G2'!P21,'G2'!P21/40)+IF('G3'!$P$5="Bulto X 40 K",'G3'!P21,'G3'!P21/40)+IF('G4'!$P$5="Bulto X 40 K",'G4'!P21,'G4'!P21/40)</f>
        <v>0</v>
      </c>
      <c r="Q21" s="38">
        <f>'G1'!Q21+'G2'!Q21+'G3'!Q21+'G4'!Q21</f>
        <v>0</v>
      </c>
      <c r="R21" s="315">
        <f t="shared" si="9"/>
        <v>0</v>
      </c>
      <c r="S21" s="327">
        <f>'G1'!S21+'G2'!S21+'G3'!S21+'G4'!S21</f>
        <v>0</v>
      </c>
      <c r="T21" s="328">
        <f>IF('G1'!$T$5="Bulto X 40 K",'G1'!T21,'G1'!T21/40)+IF('G2'!$T$5="Bulto X 40 K",'G2'!T21,'G2'!T21/40)+IF('G3'!$T$5="Bulto X 40 K",'G3'!T21,'G3'!T21/40)+IF('G4'!$T$5="Bulto X 40 K",'G4'!T21,'G4'!T21/40)</f>
        <v>0</v>
      </c>
      <c r="U21" s="328">
        <f>'G1'!U21+'G2'!U21+'G3'!U21+'G4'!U21</f>
        <v>0</v>
      </c>
      <c r="V21" s="35">
        <f t="shared" si="10"/>
        <v>0</v>
      </c>
      <c r="W21" s="310">
        <f>'G1'!W21+'G2'!W21+'G3'!W21+'G4'!W21</f>
        <v>0</v>
      </c>
      <c r="X21" s="38">
        <f>IF('G1'!$X$5="Bulto X 40 K",'G1'!X21,'G1'!X21/40)+IF('G2'!$X$5="Bulto X 40 K",'G2'!X21,'G2'!X21/40)+IF('G3'!$X$5="Bulto X 40 K",'G3'!X21,'G3'!X21/40)+IF('G4'!$X$5="Bulto X 40 K",'G4'!X21,'G4'!X21/40)</f>
        <v>0</v>
      </c>
      <c r="Y21" s="38">
        <f>'G1'!Y21+'G2'!Y21+'G3'!Y21+'G4'!Y21</f>
        <v>0</v>
      </c>
      <c r="Z21" s="35">
        <f t="shared" si="11"/>
        <v>0</v>
      </c>
      <c r="AA21" s="367">
        <f t="shared" si="14"/>
        <v>0</v>
      </c>
      <c r="AB21" s="368">
        <f t="shared" si="15"/>
        <v>0</v>
      </c>
      <c r="AC21" s="369">
        <f t="shared" si="16"/>
        <v>0</v>
      </c>
      <c r="AD21" s="327">
        <f t="shared" si="12"/>
        <v>0</v>
      </c>
      <c r="AE21" s="328">
        <f t="shared" si="13"/>
        <v>0</v>
      </c>
      <c r="AF21" s="350">
        <f t="shared" si="1"/>
        <v>0</v>
      </c>
      <c r="AG21" s="29">
        <f t="shared" si="17"/>
        <v>0</v>
      </c>
      <c r="AH21" s="47">
        <f>IF($M$3&gt;0,TGsh!C19*$M$4%+TGsh!D19*(1-$M$4%),0)</f>
        <v>0</v>
      </c>
      <c r="AI21" s="337">
        <f>IF(SUM(AD20:AD26)&gt;0,AVERAGEIF(AD20:AD26,"&gt;0",AG20:AG26),0)</f>
        <v>0</v>
      </c>
      <c r="AJ21" s="338" t="str">
        <f>$AJ$7</f>
        <v>Cons Acum</v>
      </c>
      <c r="AK21" s="339">
        <f>IF((J26+SUM(F$6:F26))&gt;0,SUM(AD$6:AD26)*40000/(J26+SUM(F$6:F26)),0)</f>
        <v>0</v>
      </c>
      <c r="AL21" s="340">
        <f>AL14+AL20</f>
        <v>0</v>
      </c>
      <c r="AM21" s="341" t="str">
        <f>IF(AK20&gt;0,(AK21-AL21)/AL21*100,"")</f>
        <v/>
      </c>
      <c r="AN21" s="50"/>
      <c r="AO21" s="142">
        <f t="shared" si="19"/>
        <v>5</v>
      </c>
      <c r="AP21" s="145">
        <f>AK35</f>
        <v>0</v>
      </c>
      <c r="AQ21" s="145">
        <f>AL35</f>
        <v>0</v>
      </c>
      <c r="AR21" s="142" t="str">
        <f>AM35</f>
        <v/>
      </c>
      <c r="AS21" s="428">
        <f t="shared" si="2"/>
        <v>0</v>
      </c>
      <c r="AT21" s="428">
        <f t="shared" si="3"/>
        <v>0</v>
      </c>
      <c r="AU21" s="428">
        <f t="shared" si="4"/>
        <v>0</v>
      </c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</row>
    <row r="22" spans="1:58" ht="16.5" thickBot="1" x14ac:dyDescent="0.3">
      <c r="A22" s="929"/>
      <c r="B22" s="53" t="str">
        <f t="shared" si="5"/>
        <v/>
      </c>
      <c r="C22" s="375">
        <f t="shared" si="6"/>
        <v>17</v>
      </c>
      <c r="D22" s="383">
        <f>'G1'!D22+'G2'!D22+'G3'!D22+'G4'!D22</f>
        <v>0</v>
      </c>
      <c r="E22" s="384">
        <f>'G1'!E22+'G2'!E22+'G3'!E22+'G4'!E22</f>
        <v>0</v>
      </c>
      <c r="F22" s="385">
        <f>'G1'!F22+'G2'!F22+'G3'!F22+'G4'!F22</f>
        <v>0</v>
      </c>
      <c r="G22" s="383">
        <f>'G1'!G22+'G2'!G22+'G3'!G22+'G4'!G22</f>
        <v>0</v>
      </c>
      <c r="H22" s="404">
        <f t="shared" si="0"/>
        <v>0</v>
      </c>
      <c r="I22" s="421">
        <f>IF($Q$1&gt;0,TGsh!E20*$M$4%+TGsh!F20*(1-$M$4%),0)</f>
        <v>0</v>
      </c>
      <c r="J22" s="302">
        <f t="shared" si="8"/>
        <v>0</v>
      </c>
      <c r="K22" s="298" t="str">
        <f>$K$8</f>
        <v xml:space="preserve">Sel Sem </v>
      </c>
      <c r="L22" s="290">
        <f>SUM(E20:E26)</f>
        <v>0</v>
      </c>
      <c r="M22" s="282">
        <f>IF(J19&gt;0,L22/J19,0)</f>
        <v>0</v>
      </c>
      <c r="N22" s="283">
        <f>IF(J19&gt;0,(('G1'!N22*'G1'!J19)+('G2'!N22*'G2'!J19))/J19,0)</f>
        <v>0</v>
      </c>
      <c r="O22" s="310">
        <f>'G1'!O22+'G2'!O22+'G3'!O22+'G4'!O22</f>
        <v>0</v>
      </c>
      <c r="P22" s="38">
        <f>IF('G1'!$P$5="Bulto X 40 K",'G1'!P22,'G1'!P22/40)+IF('G2'!$P$5="Bulto X 40 K",'G2'!P22,'G2'!P22/40)+IF('G3'!$P$5="Bulto X 40 K",'G3'!P22,'G3'!P22/40)+IF('G4'!$P$5="Bulto X 40 K",'G4'!P22,'G4'!P22/40)</f>
        <v>0</v>
      </c>
      <c r="Q22" s="38">
        <f>'G1'!Q22+'G2'!Q22+'G3'!Q22+'G4'!Q22</f>
        <v>0</v>
      </c>
      <c r="R22" s="315">
        <f t="shared" si="9"/>
        <v>0</v>
      </c>
      <c r="S22" s="327">
        <f>'G1'!S22+'G2'!S22+'G3'!S22+'G4'!S22</f>
        <v>0</v>
      </c>
      <c r="T22" s="328">
        <f>IF('G1'!$T$5="Bulto X 40 K",'G1'!T22,'G1'!T22/40)+IF('G2'!$T$5="Bulto X 40 K",'G2'!T22,'G2'!T22/40)+IF('G3'!$T$5="Bulto X 40 K",'G3'!T22,'G3'!T22/40)+IF('G4'!$T$5="Bulto X 40 K",'G4'!T22,'G4'!T22/40)</f>
        <v>0</v>
      </c>
      <c r="U22" s="328">
        <f>'G1'!U22+'G2'!U22+'G3'!U22+'G4'!U22</f>
        <v>0</v>
      </c>
      <c r="V22" s="35">
        <f t="shared" si="10"/>
        <v>0</v>
      </c>
      <c r="W22" s="310">
        <f>'G1'!W22+'G2'!W22+'G3'!W22+'G4'!W22</f>
        <v>0</v>
      </c>
      <c r="X22" s="38">
        <f>IF('G1'!$X$5="Bulto X 40 K",'G1'!X22,'G1'!X22/40)+IF('G2'!$X$5="Bulto X 40 K",'G2'!X22,'G2'!X22/40)+IF('G3'!$X$5="Bulto X 40 K",'G3'!X22,'G3'!X22/40)+IF('G4'!$X$5="Bulto X 40 K",'G4'!X22,'G4'!X22/40)</f>
        <v>0</v>
      </c>
      <c r="Y22" s="38">
        <f>'G1'!Y22+'G2'!Y22+'G3'!Y22+'G4'!Y22</f>
        <v>0</v>
      </c>
      <c r="Z22" s="35">
        <f t="shared" si="11"/>
        <v>0</v>
      </c>
      <c r="AA22" s="367">
        <f t="shared" si="14"/>
        <v>0</v>
      </c>
      <c r="AB22" s="368">
        <f t="shared" si="15"/>
        <v>0</v>
      </c>
      <c r="AC22" s="369">
        <f t="shared" si="16"/>
        <v>0</v>
      </c>
      <c r="AD22" s="327">
        <f t="shared" si="12"/>
        <v>0</v>
      </c>
      <c r="AE22" s="328">
        <f t="shared" si="13"/>
        <v>0</v>
      </c>
      <c r="AF22" s="350">
        <f t="shared" si="1"/>
        <v>0</v>
      </c>
      <c r="AG22" s="29">
        <f t="shared" si="17"/>
        <v>0</v>
      </c>
      <c r="AH22" s="47">
        <f>IF($M$3&gt;0,TGsh!C20*$M$4%+TGsh!D20*(1-$M$4%),0)</f>
        <v>0</v>
      </c>
      <c r="AI22" s="40" t="str">
        <f>$AI$8</f>
        <v>Gr. Guía</v>
      </c>
      <c r="AJ22" s="4" t="str">
        <f>$AJ$8</f>
        <v>Peso Sem</v>
      </c>
      <c r="AK22" s="39">
        <f>IF((IF('G2'!AK22&gt;0,'G2'!J26,0)+IF('G1'!AK22&gt;0,'G1'!J26,0)+IF('G3'!AK22&gt;0,'G3'!J26,0)+IF('G4'!AK22&gt;0,'G4'!J26,0))&gt;0,(('G1'!AK22*'G1'!J26)+('G2'!AK22*'G2'!J26)+('G3'!AK22*'G3'!J26)+('G4'!AK22*'G4'!J26))/(IF('G2'!AK22&gt;0,'G2'!J26,0)+IF('G1'!AK22&gt;0,'G1'!J26,0)+IF('G3'!AK22&gt;0,'G3'!J26,0)+IF('G4'!AK22&gt;0,'G4'!J26,0)),0)</f>
        <v>0</v>
      </c>
      <c r="AL22" s="42">
        <f>IF($Q$1&gt;0,I26,0)</f>
        <v>0</v>
      </c>
      <c r="AM22" s="9" t="str">
        <f>IF(AK22&gt;0,(AK22-AL22)/AL22*100,"")</f>
        <v/>
      </c>
      <c r="AN22" s="50"/>
      <c r="AO22" s="142">
        <f t="shared" si="19"/>
        <v>6</v>
      </c>
      <c r="AP22" s="145">
        <f>AK42</f>
        <v>0</v>
      </c>
      <c r="AQ22" s="145">
        <f>AL42</f>
        <v>0</v>
      </c>
      <c r="AR22" s="142" t="str">
        <f>AM42</f>
        <v/>
      </c>
      <c r="AS22" s="428">
        <f t="shared" si="2"/>
        <v>0</v>
      </c>
      <c r="AT22" s="428">
        <f t="shared" si="3"/>
        <v>0</v>
      </c>
      <c r="AU22" s="428">
        <f t="shared" si="4"/>
        <v>0</v>
      </c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</row>
    <row r="23" spans="1:58" ht="15.75" x14ac:dyDescent="0.25">
      <c r="A23" s="929"/>
      <c r="B23" s="53" t="str">
        <f t="shared" si="5"/>
        <v/>
      </c>
      <c r="C23" s="375">
        <f t="shared" si="6"/>
        <v>18</v>
      </c>
      <c r="D23" s="383">
        <f>'G1'!D23+'G2'!D23+'G3'!D23+'G4'!D23</f>
        <v>0</v>
      </c>
      <c r="E23" s="384">
        <f>'G1'!E23+'G2'!E23+'G3'!E23+'G4'!E23</f>
        <v>0</v>
      </c>
      <c r="F23" s="385">
        <f>'G1'!F23+'G2'!F23+'G3'!F23+'G4'!F23</f>
        <v>0</v>
      </c>
      <c r="G23" s="383">
        <f>'G1'!G23+'G2'!G23+'G3'!G23+'G4'!G23</f>
        <v>0</v>
      </c>
      <c r="H23" s="404">
        <f t="shared" si="0"/>
        <v>0</v>
      </c>
      <c r="I23" s="421">
        <f>IF($Q$1&gt;0,TGsh!E21*$M$4%+TGsh!F21*(1-$M$4%),0)</f>
        <v>0</v>
      </c>
      <c r="J23" s="302">
        <f t="shared" si="8"/>
        <v>0</v>
      </c>
      <c r="K23" s="299" t="str">
        <f>$K$9</f>
        <v xml:space="preserve">Mort + Sel Sem </v>
      </c>
      <c r="L23" s="291">
        <f>SUM(L21:L22)</f>
        <v>0</v>
      </c>
      <c r="M23" s="284">
        <f>IF(J19&gt;0,L23/J19,0)</f>
        <v>0</v>
      </c>
      <c r="N23" s="285">
        <f t="shared" ref="N23" ca="1" si="21">SUM(N21:N22)</f>
        <v>0</v>
      </c>
      <c r="O23" s="310">
        <f>'G1'!O23+'G2'!O23+'G3'!O23+'G4'!O23</f>
        <v>0</v>
      </c>
      <c r="P23" s="38">
        <f>IF('G1'!$P$5="Bulto X 40 K",'G1'!P23,'G1'!P23/40)+IF('G2'!$P$5="Bulto X 40 K",'G2'!P23,'G2'!P23/40)+IF('G3'!$P$5="Bulto X 40 K",'G3'!P23,'G3'!P23/40)+IF('G4'!$P$5="Bulto X 40 K",'G4'!P23,'G4'!P23/40)</f>
        <v>0</v>
      </c>
      <c r="Q23" s="38">
        <f>'G1'!Q23+'G2'!Q23+'G3'!Q23+'G4'!Q23</f>
        <v>0</v>
      </c>
      <c r="R23" s="315">
        <f t="shared" si="9"/>
        <v>0</v>
      </c>
      <c r="S23" s="327">
        <f>'G1'!S23+'G2'!S23+'G3'!S23+'G4'!S23</f>
        <v>0</v>
      </c>
      <c r="T23" s="328">
        <f>IF('G1'!$T$5="Bulto X 40 K",'G1'!T23,'G1'!T23/40)+IF('G2'!$T$5="Bulto X 40 K",'G2'!T23,'G2'!T23/40)+IF('G3'!$T$5="Bulto X 40 K",'G3'!T23,'G3'!T23/40)+IF('G4'!$T$5="Bulto X 40 K",'G4'!T23,'G4'!T23/40)</f>
        <v>0</v>
      </c>
      <c r="U23" s="328">
        <f>'G1'!U23+'G2'!U23+'G3'!U23+'G4'!U23</f>
        <v>0</v>
      </c>
      <c r="V23" s="35">
        <f t="shared" si="10"/>
        <v>0</v>
      </c>
      <c r="W23" s="310">
        <f>'G1'!W23+'G2'!W23+'G3'!W23+'G4'!W23</f>
        <v>0</v>
      </c>
      <c r="X23" s="38">
        <f>IF('G1'!$X$5="Bulto X 40 K",'G1'!X23,'G1'!X23/40)+IF('G2'!$X$5="Bulto X 40 K",'G2'!X23,'G2'!X23/40)+IF('G3'!$X$5="Bulto X 40 K",'G3'!X23,'G3'!X23/40)+IF('G4'!$X$5="Bulto X 40 K",'G4'!X23,'G4'!X23/40)</f>
        <v>0</v>
      </c>
      <c r="Y23" s="38">
        <f>'G1'!Y23+'G2'!Y23+'G3'!Y23+'G4'!Y23</f>
        <v>0</v>
      </c>
      <c r="Z23" s="35">
        <f t="shared" si="11"/>
        <v>0</v>
      </c>
      <c r="AA23" s="367">
        <f t="shared" si="14"/>
        <v>0</v>
      </c>
      <c r="AB23" s="368">
        <f t="shared" si="15"/>
        <v>0</v>
      </c>
      <c r="AC23" s="369">
        <f t="shared" si="16"/>
        <v>0</v>
      </c>
      <c r="AD23" s="327">
        <f t="shared" si="12"/>
        <v>0</v>
      </c>
      <c r="AE23" s="328">
        <f t="shared" si="13"/>
        <v>0</v>
      </c>
      <c r="AF23" s="350">
        <f t="shared" si="1"/>
        <v>0</v>
      </c>
      <c r="AG23" s="29">
        <f t="shared" si="17"/>
        <v>0</v>
      </c>
      <c r="AH23" s="47">
        <f>IF($M$3&gt;0,TGsh!C21*$M$4%+TGsh!D21*(1-$M$4%),0)</f>
        <v>0</v>
      </c>
      <c r="AI23" s="337">
        <f>IF(SUM(AD20:AD26)&gt;0,AVERAGEIF(AD20:AD26,"&gt;0",AH20:AH26),0)</f>
        <v>0</v>
      </c>
      <c r="AJ23" s="5" t="str">
        <f t="shared" ref="AJ23" si="22">AJ16</f>
        <v>Gan Dia</v>
      </c>
      <c r="AK23" s="6">
        <f>IF(AND(AK15&gt;0,AK22&gt;0),(AK22-AK15)/(COUNTIF(AD20:AD26,"&gt;0")),0)</f>
        <v>0</v>
      </c>
      <c r="AL23" s="43">
        <f>IF(AND(AL15&gt;0,AL22&gt;0,COUNTIF(AD20:AD26,"&gt;0")),(AL22-AL15)/COUNTIF(AD20:AD26,"&gt;0"),0)</f>
        <v>0</v>
      </c>
      <c r="AM23" s="10" t="str">
        <f>IF(AK23&gt;0,(AK23-AL23)/AL23*100,"")</f>
        <v/>
      </c>
      <c r="AN23" s="354"/>
      <c r="AO23" s="142">
        <f t="shared" si="19"/>
        <v>7</v>
      </c>
      <c r="AP23" s="145">
        <f>AK49</f>
        <v>0</v>
      </c>
      <c r="AQ23" s="145">
        <f>AL49</f>
        <v>0</v>
      </c>
      <c r="AR23" s="142" t="str">
        <f>AM49</f>
        <v/>
      </c>
      <c r="AS23" s="428">
        <f t="shared" si="2"/>
        <v>0</v>
      </c>
      <c r="AT23" s="428">
        <f t="shared" si="3"/>
        <v>0</v>
      </c>
      <c r="AU23" s="428">
        <f t="shared" si="4"/>
        <v>0</v>
      </c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</row>
    <row r="24" spans="1:58" ht="16.5" customHeight="1" x14ac:dyDescent="0.25">
      <c r="A24" s="929"/>
      <c r="B24" s="53" t="str">
        <f t="shared" si="5"/>
        <v/>
      </c>
      <c r="C24" s="375">
        <f t="shared" si="6"/>
        <v>19</v>
      </c>
      <c r="D24" s="383">
        <f>'G1'!D24+'G2'!D24+'G3'!D24+'G4'!D24</f>
        <v>0</v>
      </c>
      <c r="E24" s="384">
        <f>'G1'!E24+'G2'!E24+'G3'!E24+'G4'!E24</f>
        <v>0</v>
      </c>
      <c r="F24" s="385">
        <f>'G1'!F24+'G2'!F24+'G3'!F24+'G4'!F24</f>
        <v>0</v>
      </c>
      <c r="G24" s="383">
        <f>'G1'!G24+'G2'!G24+'G3'!G24+'G4'!G24</f>
        <v>0</v>
      </c>
      <c r="H24" s="404">
        <f t="shared" si="0"/>
        <v>0</v>
      </c>
      <c r="I24" s="421">
        <f>IF($Q$1&gt;0,TGsh!E22*$M$4%+TGsh!F22*(1-$M$4%),0)</f>
        <v>0</v>
      </c>
      <c r="J24" s="302">
        <f t="shared" si="8"/>
        <v>0</v>
      </c>
      <c r="K24" s="300" t="str">
        <f>$K$10</f>
        <v xml:space="preserve">Mort Acum </v>
      </c>
      <c r="L24" s="292">
        <f>L21+L17</f>
        <v>0</v>
      </c>
      <c r="M24" s="286">
        <f>IF($M$3&gt;0,L24/$M$3,0)</f>
        <v>0</v>
      </c>
      <c r="N24" s="255">
        <f ca="1">TGsh!H24</f>
        <v>0</v>
      </c>
      <c r="O24" s="310">
        <f>'G1'!O24+'G2'!O24+'G3'!O24+'G4'!O24</f>
        <v>0</v>
      </c>
      <c r="P24" s="38">
        <f>IF('G1'!$P$5="Bulto X 40 K",'G1'!P24,'G1'!P24/40)+IF('G2'!$P$5="Bulto X 40 K",'G2'!P24,'G2'!P24/40)+IF('G3'!$P$5="Bulto X 40 K",'G3'!P24,'G3'!P24/40)+IF('G4'!$P$5="Bulto X 40 K",'G4'!P24,'G4'!P24/40)</f>
        <v>0</v>
      </c>
      <c r="Q24" s="38">
        <f>'G1'!Q24+'G2'!Q24+'G3'!Q24+'G4'!Q24</f>
        <v>0</v>
      </c>
      <c r="R24" s="315">
        <f t="shared" si="9"/>
        <v>0</v>
      </c>
      <c r="S24" s="327">
        <f>'G1'!S24+'G2'!S24+'G3'!S24+'G4'!S24</f>
        <v>0</v>
      </c>
      <c r="T24" s="328">
        <f>IF('G1'!$T$5="Bulto X 40 K",'G1'!T24,'G1'!T24/40)+IF('G2'!$T$5="Bulto X 40 K",'G2'!T24,'G2'!T24/40)+IF('G3'!$T$5="Bulto X 40 K",'G3'!T24,'G3'!T24/40)+IF('G4'!$T$5="Bulto X 40 K",'G4'!T24,'G4'!T24/40)</f>
        <v>0</v>
      </c>
      <c r="U24" s="328">
        <f>'G1'!U24+'G2'!U24+'G3'!U24+'G4'!U24</f>
        <v>0</v>
      </c>
      <c r="V24" s="35">
        <f t="shared" si="10"/>
        <v>0</v>
      </c>
      <c r="W24" s="310">
        <f>'G1'!W24+'G2'!W24+'G3'!W24+'G4'!W24</f>
        <v>0</v>
      </c>
      <c r="X24" s="38">
        <f>IF('G1'!$X$5="Bulto X 40 K",'G1'!X24,'G1'!X24/40)+IF('G2'!$X$5="Bulto X 40 K",'G2'!X24,'G2'!X24/40)+IF('G3'!$X$5="Bulto X 40 K",'G3'!X24,'G3'!X24/40)+IF('G4'!$X$5="Bulto X 40 K",'G4'!X24,'G4'!X24/40)</f>
        <v>0</v>
      </c>
      <c r="Y24" s="38">
        <f>'G1'!Y24+'G2'!Y24+'G3'!Y24+'G4'!Y24</f>
        <v>0</v>
      </c>
      <c r="Z24" s="35">
        <f t="shared" si="11"/>
        <v>0</v>
      </c>
      <c r="AA24" s="367">
        <f t="shared" si="14"/>
        <v>0</v>
      </c>
      <c r="AB24" s="368">
        <f t="shared" si="15"/>
        <v>0</v>
      </c>
      <c r="AC24" s="369">
        <f t="shared" si="16"/>
        <v>0</v>
      </c>
      <c r="AD24" s="327">
        <f t="shared" si="12"/>
        <v>0</v>
      </c>
      <c r="AE24" s="328">
        <f t="shared" si="13"/>
        <v>0</v>
      </c>
      <c r="AF24" s="350">
        <f t="shared" si="1"/>
        <v>0</v>
      </c>
      <c r="AG24" s="29">
        <f t="shared" si="17"/>
        <v>0</v>
      </c>
      <c r="AH24" s="47">
        <f>IF($M$3&gt;0,TGsh!C22*$M$4%+TGsh!D22*(1-$M$4%),0)</f>
        <v>0</v>
      </c>
      <c r="AI24" s="891" t="s">
        <v>46</v>
      </c>
      <c r="AJ24" s="7" t="str">
        <f>$AJ$10</f>
        <v>Conversión</v>
      </c>
      <c r="AK24" s="13">
        <f>IF(AK22&gt;0,AK21/AK22,0)</f>
        <v>0</v>
      </c>
      <c r="AL24" s="44">
        <f>IF(AL22&gt;0,AL21/AL22,0)</f>
        <v>0</v>
      </c>
      <c r="AM24" s="11" t="str">
        <f>IF(AK22&gt;0,-(AK24-AL24)/AL24*100,"")</f>
        <v/>
      </c>
      <c r="AN24" s="50"/>
      <c r="AO24" s="142">
        <f t="shared" si="19"/>
        <v>8</v>
      </c>
      <c r="AP24" s="145">
        <f>AK56</f>
        <v>0</v>
      </c>
      <c r="AQ24" s="145">
        <f>AL56</f>
        <v>0</v>
      </c>
      <c r="AR24" s="142" t="str">
        <f>AM56</f>
        <v/>
      </c>
      <c r="AS24" s="428">
        <f t="shared" si="2"/>
        <v>0</v>
      </c>
      <c r="AT24" s="428">
        <f t="shared" si="3"/>
        <v>0</v>
      </c>
      <c r="AU24" s="428">
        <f t="shared" si="4"/>
        <v>0</v>
      </c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</row>
    <row r="25" spans="1:58" ht="15.75" x14ac:dyDescent="0.25">
      <c r="A25" s="929"/>
      <c r="B25" s="53" t="str">
        <f t="shared" si="5"/>
        <v/>
      </c>
      <c r="C25" s="375">
        <f t="shared" si="6"/>
        <v>20</v>
      </c>
      <c r="D25" s="383">
        <f>'G1'!D25+'G2'!D25+'G3'!D25+'G4'!D25</f>
        <v>0</v>
      </c>
      <c r="E25" s="384">
        <f>'G1'!E25+'G2'!E25+'G3'!E25+'G4'!E25</f>
        <v>0</v>
      </c>
      <c r="F25" s="385">
        <f>'G1'!F25+'G2'!F25+'G3'!F25+'G4'!F25</f>
        <v>0</v>
      </c>
      <c r="G25" s="410">
        <f>'G1'!G25+'G2'!G25+'G3'!G25+'G4'!G25</f>
        <v>0</v>
      </c>
      <c r="H25" s="405">
        <f t="shared" si="0"/>
        <v>0</v>
      </c>
      <c r="I25" s="420">
        <f>IF($Q$1&gt;0,TGsh!E23*$M$4%+TGsh!F23*(1-$M$4%),0)</f>
        <v>0</v>
      </c>
      <c r="J25" s="303">
        <f t="shared" si="8"/>
        <v>0</v>
      </c>
      <c r="K25" s="298" t="str">
        <f>$K$11</f>
        <v xml:space="preserve">Sel Acum </v>
      </c>
      <c r="L25" s="290">
        <f>L22+L18</f>
        <v>0</v>
      </c>
      <c r="M25" s="282">
        <f>IF($M$3&gt;0,L25/$M$3,0)</f>
        <v>0</v>
      </c>
      <c r="N25" s="283">
        <f t="shared" ref="N25" si="23">N22+N18</f>
        <v>0</v>
      </c>
      <c r="O25" s="310">
        <f>'G1'!O25+'G2'!O25+'G3'!O25+'G4'!O25</f>
        <v>0</v>
      </c>
      <c r="P25" s="38">
        <f>IF('G1'!$P$5="Bulto X 40 K",'G1'!P25,'G1'!P25/40)+IF('G2'!$P$5="Bulto X 40 K",'G2'!P25,'G2'!P25/40)+IF('G3'!$P$5="Bulto X 40 K",'G3'!P25,'G3'!P25/40)+IF('G4'!$P$5="Bulto X 40 K",'G4'!P25,'G4'!P25/40)</f>
        <v>0</v>
      </c>
      <c r="Q25" s="38">
        <f>'G1'!Q25+'G2'!Q25+'G3'!Q25+'G4'!Q25</f>
        <v>0</v>
      </c>
      <c r="R25" s="315">
        <f t="shared" si="9"/>
        <v>0</v>
      </c>
      <c r="S25" s="327">
        <f>'G1'!S25+'G2'!S25+'G3'!S25+'G4'!S25</f>
        <v>0</v>
      </c>
      <c r="T25" s="328">
        <f>IF('G1'!$T$5="Bulto X 40 K",'G1'!T25,'G1'!T25/40)+IF('G2'!$T$5="Bulto X 40 K",'G2'!T25,'G2'!T25/40)+IF('G3'!$T$5="Bulto X 40 K",'G3'!T25,'G3'!T25/40)+IF('G4'!$T$5="Bulto X 40 K",'G4'!T25,'G4'!T25/40)</f>
        <v>0</v>
      </c>
      <c r="U25" s="328">
        <f>'G1'!U25+'G2'!U25+'G3'!U25+'G4'!U25</f>
        <v>0</v>
      </c>
      <c r="V25" s="35">
        <f t="shared" si="10"/>
        <v>0</v>
      </c>
      <c r="W25" s="310">
        <f>'G1'!W25+'G2'!W25+'G3'!W25+'G4'!W25</f>
        <v>0</v>
      </c>
      <c r="X25" s="38">
        <f>IF('G1'!$X$5="Bulto X 40 K",'G1'!X25,'G1'!X25/40)+IF('G2'!$X$5="Bulto X 40 K",'G2'!X25,'G2'!X25/40)+IF('G3'!$X$5="Bulto X 40 K",'G3'!X25,'G3'!X25/40)+IF('G4'!$X$5="Bulto X 40 K",'G4'!X25,'G4'!X25/40)</f>
        <v>0</v>
      </c>
      <c r="Y25" s="38">
        <f>'G1'!Y25+'G2'!Y25+'G3'!Y25+'G4'!Y25</f>
        <v>0</v>
      </c>
      <c r="Z25" s="35">
        <f t="shared" si="11"/>
        <v>0</v>
      </c>
      <c r="AA25" s="367">
        <f t="shared" si="14"/>
        <v>0</v>
      </c>
      <c r="AB25" s="368">
        <f t="shared" si="15"/>
        <v>0</v>
      </c>
      <c r="AC25" s="369">
        <f t="shared" si="16"/>
        <v>0</v>
      </c>
      <c r="AD25" s="327">
        <f t="shared" si="12"/>
        <v>0</v>
      </c>
      <c r="AE25" s="328">
        <f t="shared" si="13"/>
        <v>0</v>
      </c>
      <c r="AF25" s="350">
        <f t="shared" si="1"/>
        <v>0</v>
      </c>
      <c r="AG25" s="29">
        <f t="shared" si="17"/>
        <v>0</v>
      </c>
      <c r="AH25" s="47">
        <f>IF($M$3&gt;0,TGsh!C23*$M$4%+TGsh!D23*(1-$M$4%),0)</f>
        <v>0</v>
      </c>
      <c r="AI25" s="892"/>
      <c r="AJ25" s="7" t="str">
        <f>$AJ$11</f>
        <v>Ef. Alim</v>
      </c>
      <c r="AK25" s="12">
        <f>IF(AK24&gt;0,AK22/AK24/10,0)</f>
        <v>0</v>
      </c>
      <c r="AL25" s="45">
        <f>IF(AL24&gt;0,AL22/AL24/10,0)</f>
        <v>0</v>
      </c>
      <c r="AM25" s="11" t="str">
        <f>IF(AK25&gt;0,(AK25-AL25)/AL25*100,"")</f>
        <v/>
      </c>
      <c r="AN25" s="50"/>
      <c r="AO25" s="143" t="s">
        <v>9</v>
      </c>
      <c r="AP25" s="143" t="s">
        <v>29</v>
      </c>
      <c r="AQ25" s="143" t="s">
        <v>30</v>
      </c>
      <c r="AR25" s="143" t="s">
        <v>14</v>
      </c>
      <c r="AS25" s="428">
        <f t="shared" si="2"/>
        <v>0</v>
      </c>
      <c r="AT25" s="428">
        <f t="shared" si="3"/>
        <v>0</v>
      </c>
      <c r="AU25" s="428">
        <f t="shared" si="4"/>
        <v>0</v>
      </c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</row>
    <row r="26" spans="1:58" ht="16.5" thickBot="1" x14ac:dyDescent="0.3">
      <c r="A26" s="930"/>
      <c r="B26" s="54" t="str">
        <f t="shared" si="5"/>
        <v/>
      </c>
      <c r="C26" s="376">
        <f t="shared" si="6"/>
        <v>21</v>
      </c>
      <c r="D26" s="388">
        <f>'G1'!D26+'G2'!D26+'G3'!D26+'G4'!D26</f>
        <v>0</v>
      </c>
      <c r="E26" s="389">
        <f>'G1'!E26+'G2'!E26+'G3'!E26+'G4'!E26</f>
        <v>0</v>
      </c>
      <c r="F26" s="390">
        <f>'G1'!F26+'G2'!F26+'G3'!F26+'G4'!F26</f>
        <v>0</v>
      </c>
      <c r="G26" s="388">
        <f>'G1'!G26+'G2'!G26+'G3'!G26+'G4'!G26</f>
        <v>0</v>
      </c>
      <c r="H26" s="406">
        <f t="shared" si="0"/>
        <v>0</v>
      </c>
      <c r="I26" s="419">
        <f>IF($Q$1&gt;0,TGsh!E24*$M$4%+TGsh!F24*(1-$M$4%),0)</f>
        <v>0</v>
      </c>
      <c r="J26" s="304">
        <f t="shared" si="8"/>
        <v>0</v>
      </c>
      <c r="K26" s="301" t="str">
        <f>$K$12</f>
        <v xml:space="preserve">Mort + Sel Acum </v>
      </c>
      <c r="L26" s="293">
        <f>L23+L19</f>
        <v>0</v>
      </c>
      <c r="M26" s="287">
        <f>IF($M$3&gt;0,L26/$M$3,0)</f>
        <v>0</v>
      </c>
      <c r="N26" s="288">
        <f t="shared" ref="N26" ca="1" si="24">SUM(N24:N25)</f>
        <v>0</v>
      </c>
      <c r="O26" s="311">
        <f>'G1'!O26+'G2'!O26+'G3'!O26+'G4'!O26</f>
        <v>0</v>
      </c>
      <c r="P26" s="49">
        <f>IF('G1'!$P$5="Bulto X 40 K",'G1'!P26,'G1'!P26/40)+IF('G2'!$P$5="Bulto X 40 K",'G2'!P26,'G2'!P26/40)+IF('G3'!$P$5="Bulto X 40 K",'G3'!P26,'G3'!P26/40)+IF('G4'!$P$5="Bulto X 40 K",'G4'!P26,'G4'!P26/40)</f>
        <v>0</v>
      </c>
      <c r="Q26" s="49">
        <f>'G1'!Q26+'G2'!Q26+'G3'!Q26+'G4'!Q26</f>
        <v>0</v>
      </c>
      <c r="R26" s="316">
        <f t="shared" si="9"/>
        <v>0</v>
      </c>
      <c r="S26" s="329">
        <f>'G1'!S26+'G2'!S26+'G3'!S26+'G4'!S26</f>
        <v>0</v>
      </c>
      <c r="T26" s="330">
        <f>IF('G1'!$T$5="Bulto X 40 K",'G1'!T26,'G1'!T26/40)+IF('G2'!$T$5="Bulto X 40 K",'G2'!T26,'G2'!T26/40)+IF('G3'!$T$5="Bulto X 40 K",'G3'!T26,'G3'!T26/40)+IF('G4'!$T$5="Bulto X 40 K",'G4'!T26,'G4'!T26/40)</f>
        <v>0</v>
      </c>
      <c r="U26" s="330">
        <f>'G1'!U26+'G2'!U26+'G3'!U26+'G4'!U26</f>
        <v>0</v>
      </c>
      <c r="V26" s="324">
        <f t="shared" si="10"/>
        <v>0</v>
      </c>
      <c r="W26" s="311">
        <f>'G1'!W26+'G2'!W26+'G3'!W26+'G4'!W26</f>
        <v>0</v>
      </c>
      <c r="X26" s="49">
        <f>IF('G1'!$X$5="Bulto X 40 K",'G1'!X26,'G1'!X26/40)+IF('G2'!$X$5="Bulto X 40 K",'G2'!X26,'G2'!X26/40)+IF('G3'!$X$5="Bulto X 40 K",'G3'!X26,'G3'!X26/40)+IF('G4'!$X$5="Bulto X 40 K",'G4'!X26,'G4'!X26/40)</f>
        <v>0</v>
      </c>
      <c r="Y26" s="49">
        <f>'G1'!Y26+'G2'!Y26+'G3'!Y26+'G4'!Y26</f>
        <v>0</v>
      </c>
      <c r="Z26" s="36">
        <f t="shared" si="11"/>
        <v>0</v>
      </c>
      <c r="AA26" s="370">
        <f t="shared" si="14"/>
        <v>0</v>
      </c>
      <c r="AB26" s="371">
        <f t="shared" si="15"/>
        <v>0</v>
      </c>
      <c r="AC26" s="372">
        <f t="shared" si="16"/>
        <v>0</v>
      </c>
      <c r="AD26" s="351">
        <f t="shared" si="12"/>
        <v>0</v>
      </c>
      <c r="AE26" s="502">
        <f t="shared" si="13"/>
        <v>0</v>
      </c>
      <c r="AF26" s="352">
        <f t="shared" si="1"/>
        <v>0</v>
      </c>
      <c r="AG26" s="30">
        <f t="shared" si="17"/>
        <v>0</v>
      </c>
      <c r="AH26" s="48">
        <f>IF($M$3&gt;0,TGsh!C24*$M$4%+TGsh!D24*(1-$M$4%),0)</f>
        <v>0</v>
      </c>
      <c r="AI26" s="342">
        <f>IF($AC$1&gt;0,AK22/1000*J26/$AC$1,0)</f>
        <v>0</v>
      </c>
      <c r="AJ26" s="343" t="str">
        <f>$AJ$12</f>
        <v>Fact. IP</v>
      </c>
      <c r="AK26" s="344">
        <f>IF(AK24&gt;0,AK25/AK24,0)</f>
        <v>0</v>
      </c>
      <c r="AL26" s="345">
        <f>IF(AL24&gt;0,AL25/AL24,0)</f>
        <v>0</v>
      </c>
      <c r="AM26" s="346" t="str">
        <f>IF(AK26&gt;0,(AK26-AL26)/AL26*100,"")</f>
        <v/>
      </c>
      <c r="AN26" s="50"/>
      <c r="AO26" s="142">
        <v>1</v>
      </c>
      <c r="AP26" s="144">
        <f>AK8</f>
        <v>0</v>
      </c>
      <c r="AQ26" s="144">
        <f>AL8</f>
        <v>0</v>
      </c>
      <c r="AR26" s="142" t="str">
        <f>AM8</f>
        <v/>
      </c>
      <c r="AS26" s="428">
        <f t="shared" si="2"/>
        <v>0</v>
      </c>
      <c r="AT26" s="428">
        <f t="shared" si="3"/>
        <v>0</v>
      </c>
      <c r="AU26" s="428">
        <f t="shared" si="4"/>
        <v>0</v>
      </c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</row>
    <row r="27" spans="1:58" ht="15.75" customHeight="1" x14ac:dyDescent="0.25">
      <c r="A27" s="928" t="s">
        <v>15</v>
      </c>
      <c r="B27" s="52" t="str">
        <f t="shared" si="5"/>
        <v/>
      </c>
      <c r="C27" s="374">
        <f t="shared" si="6"/>
        <v>22</v>
      </c>
      <c r="D27" s="380">
        <f>'G1'!D27+'G2'!D27+'G3'!D27+'G4'!D27</f>
        <v>0</v>
      </c>
      <c r="E27" s="381">
        <f>'G1'!E27+'G2'!E27+'G3'!E27+'G4'!E27</f>
        <v>0</v>
      </c>
      <c r="F27" s="382">
        <f>'G1'!F27+'G2'!F27+'G3'!F27+'G4'!F27</f>
        <v>0</v>
      </c>
      <c r="G27" s="380">
        <f>'G1'!G27+'G2'!G27+'G3'!G27+'G4'!G27</f>
        <v>0</v>
      </c>
      <c r="H27" s="403">
        <f t="shared" si="0"/>
        <v>0</v>
      </c>
      <c r="I27" s="418">
        <f>IF($Q$1&gt;0,TGsh!E25*$M$4%+TGsh!F25*(1-$M$4%),0)</f>
        <v>0</v>
      </c>
      <c r="J27" s="308">
        <f t="shared" si="8"/>
        <v>0</v>
      </c>
      <c r="K27" s="294" t="str">
        <f>$K$6</f>
        <v>Item</v>
      </c>
      <c r="L27" s="295" t="str">
        <f>$L$6</f>
        <v>#</v>
      </c>
      <c r="M27" s="295" t="str">
        <f>$M$6</f>
        <v>Real %</v>
      </c>
      <c r="N27" s="296" t="str">
        <f t="shared" ref="N27" si="25">$N$6</f>
        <v>Guia %</v>
      </c>
      <c r="O27" s="309">
        <f>'G1'!O27+'G2'!O27+'G3'!O27+'G4'!O27</f>
        <v>0</v>
      </c>
      <c r="P27" s="37">
        <f>IF('G1'!$P$5="Bulto X 40 K",'G1'!P27,'G1'!P27/40)+IF('G2'!$P$5="Bulto X 40 K",'G2'!P27,'G2'!P27/40)+IF('G3'!$P$5="Bulto X 40 K",'G3'!P27,'G3'!P27/40)+IF('G4'!$P$5="Bulto X 40 K",'G4'!P27,'G4'!P27/40)</f>
        <v>0</v>
      </c>
      <c r="Q27" s="37">
        <f>'G1'!Q27+'G2'!Q27+'G3'!Q27+'G4'!Q27</f>
        <v>0</v>
      </c>
      <c r="R27" s="314">
        <f t="shared" si="9"/>
        <v>0</v>
      </c>
      <c r="S27" s="325">
        <f>'G1'!S27+'G2'!S27+'G3'!S27+'G4'!S27</f>
        <v>0</v>
      </c>
      <c r="T27" s="326">
        <f>IF('G1'!$T$5="Bulto X 40 K",'G1'!T27,'G1'!T27/40)+IF('G2'!$T$5="Bulto X 40 K",'G2'!T27,'G2'!T27/40)+IF('G3'!$T$5="Bulto X 40 K",'G3'!T27,'G3'!T27/40)+IF('G4'!$T$5="Bulto X 40 K",'G4'!T27,'G4'!T27/40)</f>
        <v>0</v>
      </c>
      <c r="U27" s="326">
        <f>'G1'!U27+'G2'!U27+'G3'!U27+'G4'!U27</f>
        <v>0</v>
      </c>
      <c r="V27" s="34">
        <f t="shared" si="10"/>
        <v>0</v>
      </c>
      <c r="W27" s="309">
        <f>'G1'!W27+'G2'!W27+'G3'!W27+'G4'!W27</f>
        <v>0</v>
      </c>
      <c r="X27" s="37">
        <f>IF('G1'!$X$5="Bulto X 40 K",'G1'!X27,'G1'!X27/40)+IF('G2'!$X$5="Bulto X 40 K",'G2'!X27,'G2'!X27/40)+IF('G3'!$X$5="Bulto X 40 K",'G3'!X27,'G3'!X27/40)+IF('G4'!$X$5="Bulto X 40 K",'G4'!X27,'G4'!X27/40)</f>
        <v>0</v>
      </c>
      <c r="Y27" s="37">
        <f>'G1'!Y27+'G2'!Y27+'G3'!Y27+'G4'!Y27</f>
        <v>0</v>
      </c>
      <c r="Z27" s="34">
        <f t="shared" si="11"/>
        <v>0</v>
      </c>
      <c r="AA27" s="364">
        <f t="shared" si="14"/>
        <v>0</v>
      </c>
      <c r="AB27" s="365">
        <f t="shared" si="15"/>
        <v>0</v>
      </c>
      <c r="AC27" s="366">
        <f t="shared" si="16"/>
        <v>0</v>
      </c>
      <c r="AD27" s="325">
        <f t="shared" si="12"/>
        <v>0</v>
      </c>
      <c r="AE27" s="326">
        <f t="shared" si="13"/>
        <v>0</v>
      </c>
      <c r="AF27" s="349">
        <f t="shared" si="1"/>
        <v>0</v>
      </c>
      <c r="AG27" s="28">
        <f t="shared" si="17"/>
        <v>0</v>
      </c>
      <c r="AH27" s="46">
        <f>IF($M$3&gt;0,TGsh!C25*$M$4%+TGsh!D25*(1-$M$4%),0)</f>
        <v>0</v>
      </c>
      <c r="AI27" s="347" t="str">
        <f>$AI$6</f>
        <v>Gr. Obten.</v>
      </c>
      <c r="AJ27" s="335" t="str">
        <f>$AJ$6</f>
        <v>Cons Sem</v>
      </c>
      <c r="AK27" s="3">
        <f>IF((J33+SUM(F27:F33))&gt;0,SUM(AD27:AD33)*40000/(J33+SUM(F27:F33)),0)</f>
        <v>0</v>
      </c>
      <c r="AL27" s="41">
        <f>SUMIF($AD27:$AD33,"&gt;0",AH27:AH33)</f>
        <v>0</v>
      </c>
      <c r="AM27" s="336" t="str">
        <f>IF(AK27&gt;0,(AK27-AL27)/AL27*100,"")</f>
        <v/>
      </c>
      <c r="AN27" s="50"/>
      <c r="AO27" s="142">
        <f>AO26+1</f>
        <v>2</v>
      </c>
      <c r="AP27" s="144">
        <f>AK15</f>
        <v>0</v>
      </c>
      <c r="AQ27" s="144">
        <f>AL15</f>
        <v>0</v>
      </c>
      <c r="AR27" s="142" t="str">
        <f>AM15</f>
        <v/>
      </c>
      <c r="AS27" s="428">
        <f t="shared" si="2"/>
        <v>0</v>
      </c>
      <c r="AT27" s="428">
        <f t="shared" si="3"/>
        <v>0</v>
      </c>
      <c r="AU27" s="428">
        <f t="shared" si="4"/>
        <v>0</v>
      </c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</row>
    <row r="28" spans="1:58" ht="16.5" thickBot="1" x14ac:dyDescent="0.3">
      <c r="A28" s="929"/>
      <c r="B28" s="53" t="str">
        <f t="shared" si="5"/>
        <v/>
      </c>
      <c r="C28" s="375">
        <f t="shared" si="6"/>
        <v>23</v>
      </c>
      <c r="D28" s="383">
        <f>'G1'!D28+'G2'!D28+'G3'!D28+'G4'!D28</f>
        <v>0</v>
      </c>
      <c r="E28" s="384">
        <f>'G1'!E28+'G2'!E28+'G3'!E28+'G4'!E28</f>
        <v>0</v>
      </c>
      <c r="F28" s="385">
        <f>'G1'!F28+'G2'!F28+'G3'!F28+'G4'!F28</f>
        <v>0</v>
      </c>
      <c r="G28" s="383">
        <f>'G1'!G28+'G2'!G28+'G3'!G28+'G4'!G28</f>
        <v>0</v>
      </c>
      <c r="H28" s="404">
        <f t="shared" si="0"/>
        <v>0</v>
      </c>
      <c r="I28" s="421">
        <f>IF($Q$1&gt;0,TGsh!E26*$M$4%+TGsh!F26*(1-$M$4%),0)</f>
        <v>0</v>
      </c>
      <c r="J28" s="302">
        <f t="shared" si="8"/>
        <v>0</v>
      </c>
      <c r="K28" s="297" t="str">
        <f>$K$7</f>
        <v xml:space="preserve">Mort Sem </v>
      </c>
      <c r="L28" s="289">
        <f>SUM(D27:D33)</f>
        <v>0</v>
      </c>
      <c r="M28" s="280">
        <f>IF(J26&gt;0,L28/J26,0)</f>
        <v>0</v>
      </c>
      <c r="N28" s="281">
        <f ca="1">SUM(TGsh!G25:G31)</f>
        <v>0</v>
      </c>
      <c r="O28" s="310">
        <f>'G1'!O28+'G2'!O28+'G3'!O28+'G4'!O28</f>
        <v>0</v>
      </c>
      <c r="P28" s="38">
        <f>IF('G1'!$P$5="Bulto X 40 K",'G1'!P28,'G1'!P28/40)+IF('G2'!$P$5="Bulto X 40 K",'G2'!P28,'G2'!P28/40)+IF('G3'!$P$5="Bulto X 40 K",'G3'!P28,'G3'!P28/40)+IF('G4'!$P$5="Bulto X 40 K",'G4'!P28,'G4'!P28/40)</f>
        <v>0</v>
      </c>
      <c r="Q28" s="38">
        <f>'G1'!Q28+'G2'!Q28+'G3'!Q28+'G4'!Q28</f>
        <v>0</v>
      </c>
      <c r="R28" s="315">
        <f t="shared" si="9"/>
        <v>0</v>
      </c>
      <c r="S28" s="327">
        <f>'G1'!S28+'G2'!S28+'G3'!S28+'G4'!S28</f>
        <v>0</v>
      </c>
      <c r="T28" s="328">
        <f>IF('G1'!$T$5="Bulto X 40 K",'G1'!T28,'G1'!T28/40)+IF('G2'!$T$5="Bulto X 40 K",'G2'!T28,'G2'!T28/40)+IF('G3'!$T$5="Bulto X 40 K",'G3'!T28,'G3'!T28/40)+IF('G4'!$T$5="Bulto X 40 K",'G4'!T28,'G4'!T28/40)</f>
        <v>0</v>
      </c>
      <c r="U28" s="328">
        <f>'G1'!U28+'G2'!U28+'G3'!U28+'G4'!U28</f>
        <v>0</v>
      </c>
      <c r="V28" s="35">
        <f t="shared" si="10"/>
        <v>0</v>
      </c>
      <c r="W28" s="310">
        <f>'G1'!W28+'G2'!W28+'G3'!W28+'G4'!W28</f>
        <v>0</v>
      </c>
      <c r="X28" s="38">
        <f>IF('G1'!$X$5="Bulto X 40 K",'G1'!X28,'G1'!X28/40)+IF('G2'!$X$5="Bulto X 40 K",'G2'!X28,'G2'!X28/40)+IF('G3'!$X$5="Bulto X 40 K",'G3'!X28,'G3'!X28/40)+IF('G4'!$X$5="Bulto X 40 K",'G4'!X28,'G4'!X28/40)</f>
        <v>0</v>
      </c>
      <c r="Y28" s="38">
        <f>'G1'!Y28+'G2'!Y28+'G3'!Y28+'G4'!Y28</f>
        <v>0</v>
      </c>
      <c r="Z28" s="35">
        <f t="shared" si="11"/>
        <v>0</v>
      </c>
      <c r="AA28" s="367">
        <f t="shared" si="14"/>
        <v>0</v>
      </c>
      <c r="AB28" s="368">
        <f t="shared" si="15"/>
        <v>0</v>
      </c>
      <c r="AC28" s="369">
        <f t="shared" si="16"/>
        <v>0</v>
      </c>
      <c r="AD28" s="327">
        <f t="shared" si="12"/>
        <v>0</v>
      </c>
      <c r="AE28" s="328">
        <f t="shared" si="13"/>
        <v>0</v>
      </c>
      <c r="AF28" s="350">
        <f t="shared" si="1"/>
        <v>0</v>
      </c>
      <c r="AG28" s="29">
        <f t="shared" si="17"/>
        <v>0</v>
      </c>
      <c r="AH28" s="47">
        <f>IF($M$3&gt;0,TGsh!C26*$M$4%+TGsh!D26*(1-$M$4%),0)</f>
        <v>0</v>
      </c>
      <c r="AI28" s="337">
        <f>IF(SUM(AD27:AD33)&gt;0,AVERAGEIF(AD27:AD33,"&gt;0",AG27:AG33),0)</f>
        <v>0</v>
      </c>
      <c r="AJ28" s="338" t="str">
        <f>$AJ$7</f>
        <v>Cons Acum</v>
      </c>
      <c r="AK28" s="339">
        <f>IF((J33+SUM(F$6:F33))&gt;0,SUM(AD$6:AD33)*40000/(J33+SUM(F$6:F33)),0)</f>
        <v>0</v>
      </c>
      <c r="AL28" s="340">
        <f>AL21+AL27</f>
        <v>0</v>
      </c>
      <c r="AM28" s="341" t="str">
        <f>IF(AK27&gt;0,(AK28-AL28)/AL28*100,"")</f>
        <v/>
      </c>
      <c r="AN28" s="50"/>
      <c r="AO28" s="142">
        <f t="shared" ref="AO28:AO33" si="26">AO27+1</f>
        <v>3</v>
      </c>
      <c r="AP28" s="144">
        <f>AK22</f>
        <v>0</v>
      </c>
      <c r="AQ28" s="144">
        <f>AL22</f>
        <v>0</v>
      </c>
      <c r="AR28" s="142" t="str">
        <f>AM22</f>
        <v/>
      </c>
      <c r="AS28" s="428">
        <f t="shared" si="2"/>
        <v>0</v>
      </c>
      <c r="AT28" s="428">
        <f t="shared" si="3"/>
        <v>0</v>
      </c>
      <c r="AU28" s="428">
        <f t="shared" si="4"/>
        <v>0</v>
      </c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</row>
    <row r="29" spans="1:58" ht="16.5" thickBot="1" x14ac:dyDescent="0.3">
      <c r="A29" s="929"/>
      <c r="B29" s="53" t="str">
        <f t="shared" si="5"/>
        <v/>
      </c>
      <c r="C29" s="375">
        <f t="shared" si="6"/>
        <v>24</v>
      </c>
      <c r="D29" s="383">
        <f>'G1'!D29+'G2'!D29+'G3'!D29+'G4'!D29</f>
        <v>0</v>
      </c>
      <c r="E29" s="384">
        <f>'G1'!E29+'G2'!E29+'G3'!E29+'G4'!E29</f>
        <v>0</v>
      </c>
      <c r="F29" s="385">
        <f>'G1'!F29+'G2'!F29+'G3'!F29+'G4'!F29</f>
        <v>0</v>
      </c>
      <c r="G29" s="383">
        <f>'G1'!G29+'G2'!G29+'G3'!G29+'G4'!G29</f>
        <v>0</v>
      </c>
      <c r="H29" s="404">
        <f t="shared" si="0"/>
        <v>0</v>
      </c>
      <c r="I29" s="421">
        <f>IF($Q$1&gt;0,TGsh!E27*$M$4%+TGsh!F27*(1-$M$4%),0)</f>
        <v>0</v>
      </c>
      <c r="J29" s="302">
        <f t="shared" si="8"/>
        <v>0</v>
      </c>
      <c r="K29" s="298" t="str">
        <f>$K$8</f>
        <v xml:space="preserve">Sel Sem </v>
      </c>
      <c r="L29" s="290">
        <f>SUM(E27:E33)</f>
        <v>0</v>
      </c>
      <c r="M29" s="282">
        <f>IF(J26&gt;0,L29/J26,0)</f>
        <v>0</v>
      </c>
      <c r="N29" s="283">
        <f>IF(J26&gt;0,(('G1'!N29*'G1'!J26)+('G2'!N29*'G2'!J26))/J26,0)</f>
        <v>0</v>
      </c>
      <c r="O29" s="310">
        <f>'G1'!O29+'G2'!O29+'G3'!O29+'G4'!O29</f>
        <v>0</v>
      </c>
      <c r="P29" s="38">
        <f>IF('G1'!$P$5="Bulto X 40 K",'G1'!P29,'G1'!P29/40)+IF('G2'!$P$5="Bulto X 40 K",'G2'!P29,'G2'!P29/40)+IF('G3'!$P$5="Bulto X 40 K",'G3'!P29,'G3'!P29/40)+IF('G4'!$P$5="Bulto X 40 K",'G4'!P29,'G4'!P29/40)</f>
        <v>0</v>
      </c>
      <c r="Q29" s="38">
        <f>'G1'!Q29+'G2'!Q29+'G3'!Q29+'G4'!Q29</f>
        <v>0</v>
      </c>
      <c r="R29" s="315">
        <f t="shared" si="9"/>
        <v>0</v>
      </c>
      <c r="S29" s="327">
        <f>'G1'!S29+'G2'!S29+'G3'!S29+'G4'!S29</f>
        <v>0</v>
      </c>
      <c r="T29" s="328">
        <f>IF('G1'!$T$5="Bulto X 40 K",'G1'!T29,'G1'!T29/40)+IF('G2'!$T$5="Bulto X 40 K",'G2'!T29,'G2'!T29/40)+IF('G3'!$T$5="Bulto X 40 K",'G3'!T29,'G3'!T29/40)+IF('G4'!$T$5="Bulto X 40 K",'G4'!T29,'G4'!T29/40)</f>
        <v>0</v>
      </c>
      <c r="U29" s="328">
        <f>'G1'!U29+'G2'!U29+'G3'!U29+'G4'!U29</f>
        <v>0</v>
      </c>
      <c r="V29" s="35">
        <f t="shared" si="10"/>
        <v>0</v>
      </c>
      <c r="W29" s="310">
        <f>'G1'!W29+'G2'!W29+'G3'!W29+'G4'!W29</f>
        <v>0</v>
      </c>
      <c r="X29" s="38">
        <f>IF('G1'!$X$5="Bulto X 40 K",'G1'!X29,'G1'!X29/40)+IF('G2'!$X$5="Bulto X 40 K",'G2'!X29,'G2'!X29/40)+IF('G3'!$X$5="Bulto X 40 K",'G3'!X29,'G3'!X29/40)+IF('G4'!$X$5="Bulto X 40 K",'G4'!X29,'G4'!X29/40)</f>
        <v>0</v>
      </c>
      <c r="Y29" s="38">
        <f>'G1'!Y29+'G2'!Y29+'G3'!Y29+'G4'!Y29</f>
        <v>0</v>
      </c>
      <c r="Z29" s="35">
        <f t="shared" si="11"/>
        <v>0</v>
      </c>
      <c r="AA29" s="367">
        <f t="shared" si="14"/>
        <v>0</v>
      </c>
      <c r="AB29" s="368">
        <f t="shared" si="15"/>
        <v>0</v>
      </c>
      <c r="AC29" s="369">
        <f t="shared" si="16"/>
        <v>0</v>
      </c>
      <c r="AD29" s="327">
        <f t="shared" si="12"/>
        <v>0</v>
      </c>
      <c r="AE29" s="328">
        <f t="shared" si="13"/>
        <v>0</v>
      </c>
      <c r="AF29" s="350">
        <f t="shared" si="1"/>
        <v>0</v>
      </c>
      <c r="AG29" s="29">
        <f t="shared" si="17"/>
        <v>0</v>
      </c>
      <c r="AH29" s="47">
        <f>IF($M$3&gt;0,TGsh!C27*$M$4%+TGsh!D27*(1-$M$4%),0)</f>
        <v>0</v>
      </c>
      <c r="AI29" s="40" t="str">
        <f>$AI$8</f>
        <v>Gr. Guía</v>
      </c>
      <c r="AJ29" s="4" t="str">
        <f>$AJ$8</f>
        <v>Peso Sem</v>
      </c>
      <c r="AK29" s="39">
        <f>IF(SUM(F27:F33)&gt;0,SUMPRODUCT(F27:F33,H27:H33)/SUM(F27:F33),IF((IF('G2'!AK29&gt;0,'G2'!J33,0)+IF('G1'!AK29&gt;0,'G1'!J33,0)+IF('G3'!AK29&gt;0,'G3'!J33,0)+IF('G4'!AK29&gt;0,'G4'!J33,0))&gt;0,(('G1'!AK29*'G1'!J33)+('G2'!AK29*'G2'!J33)+('G3'!AK29*'G3'!J33)+('G4'!AK29*'G4'!J33))/(IF('G2'!AK29&gt;0,'G2'!J33,0)+IF('G1'!AK29&gt;0,'G1'!J33,0)+IF('G3'!AK29&gt;0,'G3'!J33,0)+IF('G4'!AK29&gt;0,'G4'!J33,0)),0))</f>
        <v>0</v>
      </c>
      <c r="AL29" s="42">
        <f>IF($Q$1&gt;0,I33,0)</f>
        <v>0</v>
      </c>
      <c r="AM29" s="9" t="str">
        <f>IF(AK29&gt;0,(AK29-AL29)/AL29*100,"")</f>
        <v/>
      </c>
      <c r="AN29" s="50"/>
      <c r="AO29" s="142">
        <f t="shared" si="26"/>
        <v>4</v>
      </c>
      <c r="AP29" s="144">
        <f>AK29</f>
        <v>0</v>
      </c>
      <c r="AQ29" s="144">
        <f>AL29</f>
        <v>0</v>
      </c>
      <c r="AR29" s="142" t="str">
        <f>AM29</f>
        <v/>
      </c>
      <c r="AS29" s="428">
        <f t="shared" si="2"/>
        <v>0</v>
      </c>
      <c r="AT29" s="428">
        <f t="shared" si="3"/>
        <v>0</v>
      </c>
      <c r="AU29" s="428">
        <f t="shared" si="4"/>
        <v>0</v>
      </c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</row>
    <row r="30" spans="1:58" ht="15.75" x14ac:dyDescent="0.25">
      <c r="A30" s="929"/>
      <c r="B30" s="53" t="str">
        <f t="shared" si="5"/>
        <v/>
      </c>
      <c r="C30" s="375">
        <f t="shared" si="6"/>
        <v>25</v>
      </c>
      <c r="D30" s="383">
        <f>'G1'!D30+'G2'!D30+'G3'!D30+'G4'!D30</f>
        <v>0</v>
      </c>
      <c r="E30" s="384">
        <f>'G1'!E30+'G2'!E30+'G3'!E30+'G4'!E30</f>
        <v>0</v>
      </c>
      <c r="F30" s="385">
        <f>'G1'!F30+'G2'!F30+'G3'!F30+'G4'!F30</f>
        <v>0</v>
      </c>
      <c r="G30" s="383">
        <f>'G1'!G30+'G2'!G30+'G3'!G30+'G4'!G30</f>
        <v>0</v>
      </c>
      <c r="H30" s="404">
        <f t="shared" si="0"/>
        <v>0</v>
      </c>
      <c r="I30" s="421">
        <f>IF($Q$1&gt;0,TGsh!E28*$M$4%+TGsh!F28*(1-$M$4%),0)</f>
        <v>0</v>
      </c>
      <c r="J30" s="302">
        <f t="shared" si="8"/>
        <v>0</v>
      </c>
      <c r="K30" s="299" t="str">
        <f>$K$9</f>
        <v xml:space="preserve">Mort + Sel Sem </v>
      </c>
      <c r="L30" s="291">
        <f>SUM(L28:L29)</f>
        <v>0</v>
      </c>
      <c r="M30" s="284">
        <f>IF(J26&gt;0,L30/J26,0)</f>
        <v>0</v>
      </c>
      <c r="N30" s="285">
        <f t="shared" ref="N30" ca="1" si="27">SUM(N28:N29)</f>
        <v>0</v>
      </c>
      <c r="O30" s="310">
        <f>'G1'!O30+'G2'!O30+'G3'!O30+'G4'!O30</f>
        <v>0</v>
      </c>
      <c r="P30" s="38">
        <f>IF('G1'!$P$5="Bulto X 40 K",'G1'!P30,'G1'!P30/40)+IF('G2'!$P$5="Bulto X 40 K",'G2'!P30,'G2'!P30/40)+IF('G3'!$P$5="Bulto X 40 K",'G3'!P30,'G3'!P30/40)+IF('G4'!$P$5="Bulto X 40 K",'G4'!P30,'G4'!P30/40)</f>
        <v>0</v>
      </c>
      <c r="Q30" s="38">
        <f>'G1'!Q30+'G2'!Q30+'G3'!Q30+'G4'!Q30</f>
        <v>0</v>
      </c>
      <c r="R30" s="315">
        <f t="shared" si="9"/>
        <v>0</v>
      </c>
      <c r="S30" s="327">
        <f>'G1'!S30+'G2'!S30+'G3'!S30+'G4'!S30</f>
        <v>0</v>
      </c>
      <c r="T30" s="328">
        <f>IF('G1'!$T$5="Bulto X 40 K",'G1'!T30,'G1'!T30/40)+IF('G2'!$T$5="Bulto X 40 K",'G2'!T30,'G2'!T30/40)+IF('G3'!$T$5="Bulto X 40 K",'G3'!T30,'G3'!T30/40)+IF('G4'!$T$5="Bulto X 40 K",'G4'!T30,'G4'!T30/40)</f>
        <v>0</v>
      </c>
      <c r="U30" s="328">
        <f>'G1'!U30+'G2'!U30+'G3'!U30+'G4'!U30</f>
        <v>0</v>
      </c>
      <c r="V30" s="35">
        <f t="shared" si="10"/>
        <v>0</v>
      </c>
      <c r="W30" s="310">
        <f>'G1'!W30+'G2'!W30+'G3'!W30+'G4'!W30</f>
        <v>0</v>
      </c>
      <c r="X30" s="38">
        <f>IF('G1'!$X$5="Bulto X 40 K",'G1'!X30,'G1'!X30/40)+IF('G2'!$X$5="Bulto X 40 K",'G2'!X30,'G2'!X30/40)+IF('G3'!$X$5="Bulto X 40 K",'G3'!X30,'G3'!X30/40)+IF('G4'!$X$5="Bulto X 40 K",'G4'!X30,'G4'!X30/40)</f>
        <v>0</v>
      </c>
      <c r="Y30" s="38">
        <f>'G1'!Y30+'G2'!Y30+'G3'!Y30+'G4'!Y30</f>
        <v>0</v>
      </c>
      <c r="Z30" s="35">
        <f t="shared" si="11"/>
        <v>0</v>
      </c>
      <c r="AA30" s="367">
        <f t="shared" si="14"/>
        <v>0</v>
      </c>
      <c r="AB30" s="368">
        <f t="shared" si="15"/>
        <v>0</v>
      </c>
      <c r="AC30" s="369">
        <f t="shared" si="16"/>
        <v>0</v>
      </c>
      <c r="AD30" s="327">
        <f t="shared" si="12"/>
        <v>0</v>
      </c>
      <c r="AE30" s="328">
        <f t="shared" si="13"/>
        <v>0</v>
      </c>
      <c r="AF30" s="350">
        <f t="shared" si="1"/>
        <v>0</v>
      </c>
      <c r="AG30" s="29">
        <f t="shared" si="17"/>
        <v>0</v>
      </c>
      <c r="AH30" s="47">
        <f>IF($M$3&gt;0,TGsh!C28*$M$4%+TGsh!D28*(1-$M$4%),0)</f>
        <v>0</v>
      </c>
      <c r="AI30" s="337">
        <f>IF(SUM(AD27:AD33)&gt;0,AVERAGEIF(AD27:AD33,"&gt;0",AH27:AH33),0)</f>
        <v>0</v>
      </c>
      <c r="AJ30" s="5" t="str">
        <f t="shared" ref="AJ30" si="28">AJ23</f>
        <v>Gan Dia</v>
      </c>
      <c r="AK30" s="6">
        <f>IF(AND(AK22&gt;0,AK29&gt;0),(AK29-AK22)/(COUNTIF(AD27:AD33,"&gt;0")),0)</f>
        <v>0</v>
      </c>
      <c r="AL30" s="43">
        <f>IF(AND(AL22&gt;0,AL29&gt;0,COUNTIF(AD27:AD33,"&gt;0")),(AL29-AL22)/COUNTIF(AD27:AD33,"&gt;0"),0)</f>
        <v>0</v>
      </c>
      <c r="AM30" s="10" t="str">
        <f>IF(AK30&gt;0,(AK30-AL30)/AL30*100,"")</f>
        <v/>
      </c>
      <c r="AN30" s="354"/>
      <c r="AO30" s="142">
        <f t="shared" si="26"/>
        <v>5</v>
      </c>
      <c r="AP30" s="144">
        <f>AK36</f>
        <v>0</v>
      </c>
      <c r="AQ30" s="144">
        <f>AL36</f>
        <v>0</v>
      </c>
      <c r="AR30" s="142" t="str">
        <f>AM36</f>
        <v/>
      </c>
      <c r="AS30" s="428">
        <f t="shared" si="2"/>
        <v>0</v>
      </c>
      <c r="AT30" s="428">
        <f t="shared" si="3"/>
        <v>0</v>
      </c>
      <c r="AU30" s="428">
        <f t="shared" si="4"/>
        <v>0</v>
      </c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</row>
    <row r="31" spans="1:58" ht="15.75" customHeight="1" x14ac:dyDescent="0.25">
      <c r="A31" s="929"/>
      <c r="B31" s="53" t="str">
        <f t="shared" si="5"/>
        <v/>
      </c>
      <c r="C31" s="375">
        <f t="shared" si="6"/>
        <v>26</v>
      </c>
      <c r="D31" s="383">
        <f>'G1'!D31+'G2'!D31+'G3'!D31+'G4'!D31</f>
        <v>0</v>
      </c>
      <c r="E31" s="384">
        <f>'G1'!E31+'G2'!E31+'G3'!E31+'G4'!E31</f>
        <v>0</v>
      </c>
      <c r="F31" s="385">
        <f>'G1'!F31+'G2'!F31+'G3'!F31+'G4'!F31</f>
        <v>0</v>
      </c>
      <c r="G31" s="383">
        <f>'G1'!G31+'G2'!G31+'G3'!G31+'G4'!G31</f>
        <v>0</v>
      </c>
      <c r="H31" s="404">
        <f t="shared" si="0"/>
        <v>0</v>
      </c>
      <c r="I31" s="421">
        <f>IF($Q$1&gt;0,TGsh!E29*$M$4%+TGsh!F29*(1-$M$4%),0)</f>
        <v>0</v>
      </c>
      <c r="J31" s="302">
        <f t="shared" si="8"/>
        <v>0</v>
      </c>
      <c r="K31" s="300" t="str">
        <f>$K$10</f>
        <v xml:space="preserve">Mort Acum </v>
      </c>
      <c r="L31" s="292">
        <f>L28+L24</f>
        <v>0</v>
      </c>
      <c r="M31" s="286">
        <f>IF($M$3&gt;0,L31/$M$3,0)</f>
        <v>0</v>
      </c>
      <c r="N31" s="255">
        <f ca="1">TGsh!H31</f>
        <v>0</v>
      </c>
      <c r="O31" s="310">
        <f>'G1'!O31+'G2'!O31+'G3'!O31+'G4'!O31</f>
        <v>0</v>
      </c>
      <c r="P31" s="38">
        <f>IF('G1'!$P$5="Bulto X 40 K",'G1'!P31,'G1'!P31/40)+IF('G2'!$P$5="Bulto X 40 K",'G2'!P31,'G2'!P31/40)+IF('G3'!$P$5="Bulto X 40 K",'G3'!P31,'G3'!P31/40)+IF('G4'!$P$5="Bulto X 40 K",'G4'!P31,'G4'!P31/40)</f>
        <v>0</v>
      </c>
      <c r="Q31" s="38">
        <f>'G1'!Q31+'G2'!Q31+'G3'!Q31+'G4'!Q31</f>
        <v>0</v>
      </c>
      <c r="R31" s="315">
        <f t="shared" si="9"/>
        <v>0</v>
      </c>
      <c r="S31" s="327">
        <f>'G1'!S31+'G2'!S31+'G3'!S31+'G4'!S31</f>
        <v>0</v>
      </c>
      <c r="T31" s="328">
        <f>IF('G1'!$T$5="Bulto X 40 K",'G1'!T31,'G1'!T31/40)+IF('G2'!$T$5="Bulto X 40 K",'G2'!T31,'G2'!T31/40)+IF('G3'!$T$5="Bulto X 40 K",'G3'!T31,'G3'!T31/40)+IF('G4'!$T$5="Bulto X 40 K",'G4'!T31,'G4'!T31/40)</f>
        <v>0</v>
      </c>
      <c r="U31" s="328">
        <f>'G1'!U31+'G2'!U31+'G3'!U31+'G4'!U31</f>
        <v>0</v>
      </c>
      <c r="V31" s="35">
        <f t="shared" si="10"/>
        <v>0</v>
      </c>
      <c r="W31" s="310">
        <f>'G1'!W31+'G2'!W31+'G3'!W31+'G4'!W31</f>
        <v>0</v>
      </c>
      <c r="X31" s="38">
        <f>IF('G1'!$X$5="Bulto X 40 K",'G1'!X31,'G1'!X31/40)+IF('G2'!$X$5="Bulto X 40 K",'G2'!X31,'G2'!X31/40)+IF('G3'!$X$5="Bulto X 40 K",'G3'!X31,'G3'!X31/40)+IF('G4'!$X$5="Bulto X 40 K",'G4'!X31,'G4'!X31/40)</f>
        <v>0</v>
      </c>
      <c r="Y31" s="38">
        <f>'G1'!Y31+'G2'!Y31+'G3'!Y31+'G4'!Y31</f>
        <v>0</v>
      </c>
      <c r="Z31" s="35">
        <f t="shared" si="11"/>
        <v>0</v>
      </c>
      <c r="AA31" s="367">
        <f t="shared" si="14"/>
        <v>0</v>
      </c>
      <c r="AB31" s="368">
        <f t="shared" si="15"/>
        <v>0</v>
      </c>
      <c r="AC31" s="369">
        <f t="shared" si="16"/>
        <v>0</v>
      </c>
      <c r="AD31" s="327">
        <f t="shared" si="12"/>
        <v>0</v>
      </c>
      <c r="AE31" s="328">
        <f t="shared" si="13"/>
        <v>0</v>
      </c>
      <c r="AF31" s="350">
        <f t="shared" si="1"/>
        <v>0</v>
      </c>
      <c r="AG31" s="29">
        <f t="shared" si="17"/>
        <v>0</v>
      </c>
      <c r="AH31" s="47">
        <f>IF($M$3&gt;0,TGsh!C29*$M$4%+TGsh!D29*(1-$M$4%),0)</f>
        <v>0</v>
      </c>
      <c r="AI31" s="891" t="s">
        <v>46</v>
      </c>
      <c r="AJ31" s="7" t="str">
        <f>$AJ$10</f>
        <v>Conversión</v>
      </c>
      <c r="AK31" s="13">
        <f>IF(AK29&gt;0,AK28/AK29,0)</f>
        <v>0</v>
      </c>
      <c r="AL31" s="44">
        <f>IF(AL29&gt;0,AL28/AL29,0)</f>
        <v>0</v>
      </c>
      <c r="AM31" s="11" t="str">
        <f>IF(AK29&gt;0,-(AK31-AL31)/AL31*100,"")</f>
        <v/>
      </c>
      <c r="AN31" s="50"/>
      <c r="AO31" s="142">
        <f t="shared" si="26"/>
        <v>6</v>
      </c>
      <c r="AP31" s="144">
        <f>AK43</f>
        <v>0</v>
      </c>
      <c r="AQ31" s="144">
        <f>AL43</f>
        <v>0</v>
      </c>
      <c r="AR31" s="142" t="str">
        <f>AM43</f>
        <v/>
      </c>
      <c r="AS31" s="428">
        <f t="shared" si="2"/>
        <v>0</v>
      </c>
      <c r="AT31" s="428">
        <f t="shared" si="3"/>
        <v>0</v>
      </c>
      <c r="AU31" s="428">
        <f t="shared" si="4"/>
        <v>0</v>
      </c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</row>
    <row r="32" spans="1:58" ht="15.75" x14ac:dyDescent="0.25">
      <c r="A32" s="929"/>
      <c r="B32" s="53" t="str">
        <f t="shared" si="5"/>
        <v/>
      </c>
      <c r="C32" s="375">
        <f t="shared" si="6"/>
        <v>27</v>
      </c>
      <c r="D32" s="383">
        <f>'G1'!D32+'G2'!D32+'G3'!D32+'G4'!D32</f>
        <v>0</v>
      </c>
      <c r="E32" s="384">
        <f>'G1'!E32+'G2'!E32+'G3'!E32+'G4'!E32</f>
        <v>0</v>
      </c>
      <c r="F32" s="385">
        <f>'G1'!F32+'G2'!F32+'G3'!F32+'G4'!F32</f>
        <v>0</v>
      </c>
      <c r="G32" s="410">
        <f>'G1'!G32+'G2'!G32+'G3'!G32+'G4'!G32</f>
        <v>0</v>
      </c>
      <c r="H32" s="405">
        <f t="shared" si="0"/>
        <v>0</v>
      </c>
      <c r="I32" s="420">
        <f>IF($Q$1&gt;0,TGsh!E30*$M$4%+TGsh!F30*(1-$M$4%),0)</f>
        <v>0</v>
      </c>
      <c r="J32" s="303">
        <f t="shared" si="8"/>
        <v>0</v>
      </c>
      <c r="K32" s="298" t="str">
        <f>$K$11</f>
        <v xml:space="preserve">Sel Acum </v>
      </c>
      <c r="L32" s="290">
        <f>L29+L25</f>
        <v>0</v>
      </c>
      <c r="M32" s="282">
        <f>IF($M$3&gt;0,L32/$M$3,0)</f>
        <v>0</v>
      </c>
      <c r="N32" s="283">
        <f t="shared" ref="N32" si="29">N29+N25</f>
        <v>0</v>
      </c>
      <c r="O32" s="310">
        <f>'G1'!O32+'G2'!O32+'G3'!O32+'G4'!O32</f>
        <v>0</v>
      </c>
      <c r="P32" s="38">
        <f>IF('G1'!$P$5="Bulto X 40 K",'G1'!P32,'G1'!P32/40)+IF('G2'!$P$5="Bulto X 40 K",'G2'!P32,'G2'!P32/40)+IF('G3'!$P$5="Bulto X 40 K",'G3'!P32,'G3'!P32/40)+IF('G4'!$P$5="Bulto X 40 K",'G4'!P32,'G4'!P32/40)</f>
        <v>0</v>
      </c>
      <c r="Q32" s="38">
        <f>'G1'!Q32+'G2'!Q32+'G3'!Q32+'G4'!Q32</f>
        <v>0</v>
      </c>
      <c r="R32" s="315">
        <f t="shared" si="9"/>
        <v>0</v>
      </c>
      <c r="S32" s="327">
        <f>'G1'!S32+'G2'!S32+'G3'!S32+'G4'!S32</f>
        <v>0</v>
      </c>
      <c r="T32" s="328">
        <f>IF('G1'!$T$5="Bulto X 40 K",'G1'!T32,'G1'!T32/40)+IF('G2'!$T$5="Bulto X 40 K",'G2'!T32,'G2'!T32/40)+IF('G3'!$T$5="Bulto X 40 K",'G3'!T32,'G3'!T32/40)+IF('G4'!$T$5="Bulto X 40 K",'G4'!T32,'G4'!T32/40)</f>
        <v>0</v>
      </c>
      <c r="U32" s="328">
        <f>'G1'!U32+'G2'!U32+'G3'!U32+'G4'!U32</f>
        <v>0</v>
      </c>
      <c r="V32" s="35">
        <f t="shared" si="10"/>
        <v>0</v>
      </c>
      <c r="W32" s="310">
        <f>'G1'!W32+'G2'!W32+'G3'!W32+'G4'!W32</f>
        <v>0</v>
      </c>
      <c r="X32" s="38">
        <f>IF('G1'!$X$5="Bulto X 40 K",'G1'!X32,'G1'!X32/40)+IF('G2'!$X$5="Bulto X 40 K",'G2'!X32,'G2'!X32/40)+IF('G3'!$X$5="Bulto X 40 K",'G3'!X32,'G3'!X32/40)+IF('G4'!$X$5="Bulto X 40 K",'G4'!X32,'G4'!X32/40)</f>
        <v>0</v>
      </c>
      <c r="Y32" s="38">
        <f>'G1'!Y32+'G2'!Y32+'G3'!Y32+'G4'!Y32</f>
        <v>0</v>
      </c>
      <c r="Z32" s="35">
        <f t="shared" si="11"/>
        <v>0</v>
      </c>
      <c r="AA32" s="367">
        <f t="shared" si="14"/>
        <v>0</v>
      </c>
      <c r="AB32" s="368">
        <f t="shared" si="15"/>
        <v>0</v>
      </c>
      <c r="AC32" s="369">
        <f t="shared" si="16"/>
        <v>0</v>
      </c>
      <c r="AD32" s="327">
        <f t="shared" si="12"/>
        <v>0</v>
      </c>
      <c r="AE32" s="328">
        <f t="shared" si="13"/>
        <v>0</v>
      </c>
      <c r="AF32" s="350">
        <f t="shared" si="1"/>
        <v>0</v>
      </c>
      <c r="AG32" s="29">
        <f t="shared" si="17"/>
        <v>0</v>
      </c>
      <c r="AH32" s="47">
        <f>IF($M$3&gt;0,TGsh!C30*$M$4%+TGsh!D30*(1-$M$4%),0)</f>
        <v>0</v>
      </c>
      <c r="AI32" s="892"/>
      <c r="AJ32" s="7" t="str">
        <f>$AJ$11</f>
        <v>Ef. Alim</v>
      </c>
      <c r="AK32" s="12">
        <f>IF(AK31&gt;0,AK29/AK31/10,0)</f>
        <v>0</v>
      </c>
      <c r="AL32" s="45">
        <f>IF(AL31&gt;0,AL29/AL31/10,0)</f>
        <v>0</v>
      </c>
      <c r="AM32" s="11" t="str">
        <f>IF(AK32&gt;0,(AK32-AL32)/AL32*100,"")</f>
        <v/>
      </c>
      <c r="AN32" s="50"/>
      <c r="AO32" s="142">
        <f t="shared" si="26"/>
        <v>7</v>
      </c>
      <c r="AP32" s="144">
        <f>AK50</f>
        <v>0</v>
      </c>
      <c r="AQ32" s="144">
        <f>AL50</f>
        <v>0</v>
      </c>
      <c r="AR32" s="142" t="str">
        <f>AM50</f>
        <v/>
      </c>
      <c r="AS32" s="428">
        <f t="shared" si="2"/>
        <v>0</v>
      </c>
      <c r="AT32" s="428">
        <f t="shared" si="3"/>
        <v>0</v>
      </c>
      <c r="AU32" s="428">
        <f t="shared" si="4"/>
        <v>0</v>
      </c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</row>
    <row r="33" spans="1:58" ht="16.5" thickBot="1" x14ac:dyDescent="0.3">
      <c r="A33" s="930"/>
      <c r="B33" s="54" t="str">
        <f t="shared" si="5"/>
        <v/>
      </c>
      <c r="C33" s="376">
        <f t="shared" si="6"/>
        <v>28</v>
      </c>
      <c r="D33" s="388">
        <f>'G1'!D33+'G2'!D33+'G3'!D33+'G4'!D33</f>
        <v>0</v>
      </c>
      <c r="E33" s="389">
        <f>'G1'!E33+'G2'!E33+'G3'!E33+'G4'!E33</f>
        <v>0</v>
      </c>
      <c r="F33" s="390">
        <f>'G1'!F33+'G2'!F33+'G3'!F33+'G4'!F33</f>
        <v>0</v>
      </c>
      <c r="G33" s="388">
        <f>'G1'!G33+'G2'!G33+'G3'!G33+'G4'!G33</f>
        <v>0</v>
      </c>
      <c r="H33" s="406">
        <f t="shared" si="0"/>
        <v>0</v>
      </c>
      <c r="I33" s="419">
        <f>IF($Q$1&gt;0,TGsh!E31*$M$4%+TGsh!F31*(1-$M$4%),0)</f>
        <v>0</v>
      </c>
      <c r="J33" s="304">
        <f t="shared" si="8"/>
        <v>0</v>
      </c>
      <c r="K33" s="301" t="str">
        <f>$K$12</f>
        <v xml:space="preserve">Mort + Sel Acum </v>
      </c>
      <c r="L33" s="293">
        <f>L30+L26</f>
        <v>0</v>
      </c>
      <c r="M33" s="287">
        <f>IF($M$3&gt;0,L33/$M$3,0)</f>
        <v>0</v>
      </c>
      <c r="N33" s="288">
        <f t="shared" ref="N33" ca="1" si="30">SUM(N31:N32)</f>
        <v>0</v>
      </c>
      <c r="O33" s="311">
        <f>'G1'!O33+'G2'!O33+'G3'!O33+'G4'!O33</f>
        <v>0</v>
      </c>
      <c r="P33" s="49">
        <f>IF('G1'!$P$5="Bulto X 40 K",'G1'!P33,'G1'!P33/40)+IF('G2'!$P$5="Bulto X 40 K",'G2'!P33,'G2'!P33/40)+IF('G3'!$P$5="Bulto X 40 K",'G3'!P33,'G3'!P33/40)+IF('G4'!$P$5="Bulto X 40 K",'G4'!P33,'G4'!P33/40)</f>
        <v>0</v>
      </c>
      <c r="Q33" s="49">
        <f>'G1'!Q33+'G2'!Q33+'G3'!Q33+'G4'!Q33</f>
        <v>0</v>
      </c>
      <c r="R33" s="316">
        <f t="shared" si="9"/>
        <v>0</v>
      </c>
      <c r="S33" s="329">
        <f>'G1'!S33+'G2'!S33+'G3'!S33+'G4'!S33</f>
        <v>0</v>
      </c>
      <c r="T33" s="330">
        <f>IF('G1'!$T$5="Bulto X 40 K",'G1'!T33,'G1'!T33/40)+IF('G2'!$T$5="Bulto X 40 K",'G2'!T33,'G2'!T33/40)+IF('G3'!$T$5="Bulto X 40 K",'G3'!T33,'G3'!T33/40)+IF('G4'!$T$5="Bulto X 40 K",'G4'!T33,'G4'!T33/40)</f>
        <v>0</v>
      </c>
      <c r="U33" s="330">
        <f>'G1'!U33+'G2'!U33+'G3'!U33+'G4'!U33</f>
        <v>0</v>
      </c>
      <c r="V33" s="324">
        <f t="shared" si="10"/>
        <v>0</v>
      </c>
      <c r="W33" s="311">
        <f>'G1'!W33+'G2'!W33+'G3'!W33+'G4'!W33</f>
        <v>0</v>
      </c>
      <c r="X33" s="49">
        <f>IF('G1'!$X$5="Bulto X 40 K",'G1'!X33,'G1'!X33/40)+IF('G2'!$X$5="Bulto X 40 K",'G2'!X33,'G2'!X33/40)+IF('G3'!$X$5="Bulto X 40 K",'G3'!X33,'G3'!X33/40)+IF('G4'!$X$5="Bulto X 40 K",'G4'!X33,'G4'!X33/40)</f>
        <v>0</v>
      </c>
      <c r="Y33" s="49">
        <f>'G1'!Y33+'G2'!Y33+'G3'!Y33+'G4'!Y33</f>
        <v>0</v>
      </c>
      <c r="Z33" s="36">
        <f t="shared" si="11"/>
        <v>0</v>
      </c>
      <c r="AA33" s="370">
        <f t="shared" si="14"/>
        <v>0</v>
      </c>
      <c r="AB33" s="371">
        <f t="shared" si="15"/>
        <v>0</v>
      </c>
      <c r="AC33" s="372">
        <f t="shared" si="16"/>
        <v>0</v>
      </c>
      <c r="AD33" s="351">
        <f t="shared" si="12"/>
        <v>0</v>
      </c>
      <c r="AE33" s="502">
        <f t="shared" si="13"/>
        <v>0</v>
      </c>
      <c r="AF33" s="352">
        <f t="shared" si="1"/>
        <v>0</v>
      </c>
      <c r="AG33" s="30">
        <f t="shared" si="17"/>
        <v>0</v>
      </c>
      <c r="AH33" s="48">
        <f>IF($M$3&gt;0,TGsh!C31*$M$4%+TGsh!D31*(1-$M$4%),0)</f>
        <v>0</v>
      </c>
      <c r="AI33" s="342">
        <f>IF($AC$1&gt;0,AK29/1000*J33/$AC$1,0)</f>
        <v>0</v>
      </c>
      <c r="AJ33" s="343" t="str">
        <f>$AJ$12</f>
        <v>Fact. IP</v>
      </c>
      <c r="AK33" s="344">
        <f>IF(AK31&gt;0,AK32/AK31,0)</f>
        <v>0</v>
      </c>
      <c r="AL33" s="345">
        <f>IF(AL31&gt;0,AL32/AL31,0)</f>
        <v>0</v>
      </c>
      <c r="AM33" s="346" t="str">
        <f>IF(AK33&gt;0,(AK33-AL33)/AL33*100,"")</f>
        <v/>
      </c>
      <c r="AN33" s="50"/>
      <c r="AO33" s="142">
        <f t="shared" si="26"/>
        <v>8</v>
      </c>
      <c r="AP33" s="144">
        <f>AK57</f>
        <v>0</v>
      </c>
      <c r="AQ33" s="144">
        <f>AL57</f>
        <v>0</v>
      </c>
      <c r="AR33" s="142" t="str">
        <f>AM57</f>
        <v/>
      </c>
      <c r="AS33" s="428">
        <f t="shared" si="2"/>
        <v>0</v>
      </c>
      <c r="AT33" s="428">
        <f t="shared" si="3"/>
        <v>0</v>
      </c>
      <c r="AU33" s="428">
        <f t="shared" si="4"/>
        <v>0</v>
      </c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</row>
    <row r="34" spans="1:58" ht="15.75" customHeight="1" x14ac:dyDescent="0.25">
      <c r="A34" s="928" t="s">
        <v>19</v>
      </c>
      <c r="B34" s="52" t="str">
        <f t="shared" si="5"/>
        <v/>
      </c>
      <c r="C34" s="374">
        <f t="shared" si="6"/>
        <v>29</v>
      </c>
      <c r="D34" s="380">
        <f>'G1'!D34+'G2'!D34+'G3'!D34+'G4'!D34</f>
        <v>0</v>
      </c>
      <c r="E34" s="381">
        <f>'G1'!E34+'G2'!E34+'G3'!E34+'G4'!E34</f>
        <v>0</v>
      </c>
      <c r="F34" s="382">
        <f>'G1'!F34+'G2'!F34+'G3'!F34+'G4'!F34</f>
        <v>0</v>
      </c>
      <c r="G34" s="380">
        <f>'G1'!G34+'G2'!G34+'G3'!G34+'G4'!G34</f>
        <v>0</v>
      </c>
      <c r="H34" s="403">
        <f t="shared" si="0"/>
        <v>0</v>
      </c>
      <c r="I34" s="418">
        <f>IF($Q$1&gt;0,TGsh!E32*$M$4%+TGsh!F32*(1-$M$4%),0)</f>
        <v>0</v>
      </c>
      <c r="J34" s="308">
        <f t="shared" si="8"/>
        <v>0</v>
      </c>
      <c r="K34" s="294" t="str">
        <f>$K$6</f>
        <v>Item</v>
      </c>
      <c r="L34" s="295" t="str">
        <f>$L$6</f>
        <v>#</v>
      </c>
      <c r="M34" s="295" t="str">
        <f>$M$6</f>
        <v>Real %</v>
      </c>
      <c r="N34" s="296" t="str">
        <f t="shared" ref="N34" si="31">$N$6</f>
        <v>Guia %</v>
      </c>
      <c r="O34" s="309">
        <f>'G1'!O34+'G2'!O34+'G3'!O34+'G4'!O34</f>
        <v>0</v>
      </c>
      <c r="P34" s="37">
        <f>IF('G1'!$P$5="Bulto X 40 K",'G1'!P34,'G1'!P34/40)+IF('G2'!$P$5="Bulto X 40 K",'G2'!P34,'G2'!P34/40)+IF('G3'!$P$5="Bulto X 40 K",'G3'!P34,'G3'!P34/40)+IF('G4'!$P$5="Bulto X 40 K",'G4'!P34,'G4'!P34/40)</f>
        <v>0</v>
      </c>
      <c r="Q34" s="37">
        <f>'G1'!Q34+'G2'!Q34+'G3'!Q34+'G4'!Q34</f>
        <v>0</v>
      </c>
      <c r="R34" s="314">
        <f t="shared" si="9"/>
        <v>0</v>
      </c>
      <c r="S34" s="325">
        <f>'G1'!S34+'G2'!S34+'G3'!S34+'G4'!S34</f>
        <v>0</v>
      </c>
      <c r="T34" s="326">
        <f>IF('G1'!$T$5="Bulto X 40 K",'G1'!T34,'G1'!T34/40)+IF('G2'!$T$5="Bulto X 40 K",'G2'!T34,'G2'!T34/40)+IF('G3'!$T$5="Bulto X 40 K",'G3'!T34,'G3'!T34/40)+IF('G4'!$T$5="Bulto X 40 K",'G4'!T34,'G4'!T34/40)</f>
        <v>0</v>
      </c>
      <c r="U34" s="326">
        <f>'G1'!U34+'G2'!U34+'G3'!U34+'G4'!U34</f>
        <v>0</v>
      </c>
      <c r="V34" s="34">
        <f t="shared" si="10"/>
        <v>0</v>
      </c>
      <c r="W34" s="309">
        <f>'G1'!W34+'G2'!W34+'G3'!W34+'G4'!W34</f>
        <v>0</v>
      </c>
      <c r="X34" s="37">
        <f>IF('G1'!$X$5="Bulto X 40 K",'G1'!X34,'G1'!X34/40)+IF('G2'!$X$5="Bulto X 40 K",'G2'!X34,'G2'!X34/40)+IF('G3'!$X$5="Bulto X 40 K",'G3'!X34,'G3'!X34/40)+IF('G4'!$X$5="Bulto X 40 K",'G4'!X34,'G4'!X34/40)</f>
        <v>0</v>
      </c>
      <c r="Y34" s="37">
        <f>'G1'!Y34+'G2'!Y34+'G3'!Y34+'G4'!Y34</f>
        <v>0</v>
      </c>
      <c r="Z34" s="34">
        <f t="shared" si="11"/>
        <v>0</v>
      </c>
      <c r="AA34" s="364">
        <f t="shared" si="14"/>
        <v>0</v>
      </c>
      <c r="AB34" s="365">
        <f t="shared" si="15"/>
        <v>0</v>
      </c>
      <c r="AC34" s="366">
        <f t="shared" si="16"/>
        <v>0</v>
      </c>
      <c r="AD34" s="325">
        <f t="shared" si="12"/>
        <v>0</v>
      </c>
      <c r="AE34" s="326">
        <f t="shared" si="13"/>
        <v>0</v>
      </c>
      <c r="AF34" s="349">
        <f t="shared" si="1"/>
        <v>0</v>
      </c>
      <c r="AG34" s="28">
        <f t="shared" si="17"/>
        <v>0</v>
      </c>
      <c r="AH34" s="46">
        <f>IF($M$3&gt;0,TGsh!C32*$M$4%+TGsh!D32*(1-$M$4%),0)</f>
        <v>0</v>
      </c>
      <c r="AI34" s="347" t="str">
        <f>$AI$6</f>
        <v>Gr. Obten.</v>
      </c>
      <c r="AJ34" s="335" t="str">
        <f>$AJ$6</f>
        <v>Cons Sem</v>
      </c>
      <c r="AK34" s="3">
        <f>IF((J40+SUM(F34:F40))&gt;0,SUM(AD34:AD40)*40000/(J40+SUM(F34:F40)),0)</f>
        <v>0</v>
      </c>
      <c r="AL34" s="41">
        <f>SUMIF($AD34:$AD40,"&gt;0",AH34:AH40)</f>
        <v>0</v>
      </c>
      <c r="AM34" s="336" t="str">
        <f>IF(AK34&gt;0,(AK34-AL34)/AL34*100,"")</f>
        <v/>
      </c>
      <c r="AN34" s="50"/>
      <c r="AO34" s="143" t="s">
        <v>9</v>
      </c>
      <c r="AP34" s="143" t="s">
        <v>32</v>
      </c>
      <c r="AQ34" s="143" t="s">
        <v>33</v>
      </c>
      <c r="AR34" s="143" t="s">
        <v>14</v>
      </c>
      <c r="AS34" s="428">
        <f t="shared" si="2"/>
        <v>0</v>
      </c>
      <c r="AT34" s="428">
        <f t="shared" si="3"/>
        <v>0</v>
      </c>
      <c r="AU34" s="428">
        <f t="shared" si="4"/>
        <v>0</v>
      </c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</row>
    <row r="35" spans="1:58" ht="16.5" thickBot="1" x14ac:dyDescent="0.3">
      <c r="A35" s="929"/>
      <c r="B35" s="53" t="str">
        <f t="shared" si="5"/>
        <v/>
      </c>
      <c r="C35" s="375">
        <f t="shared" si="6"/>
        <v>30</v>
      </c>
      <c r="D35" s="383">
        <f>'G1'!D35+'G2'!D35+'G3'!D35+'G4'!D35</f>
        <v>0</v>
      </c>
      <c r="E35" s="384">
        <f>'G1'!E35+'G2'!E35+'G3'!E35+'G4'!E35</f>
        <v>0</v>
      </c>
      <c r="F35" s="385">
        <f>'G1'!F35+'G2'!F35+'G3'!F35+'G4'!F35</f>
        <v>0</v>
      </c>
      <c r="G35" s="383">
        <f>'G1'!G35+'G2'!G35+'G3'!G35+'G4'!G35</f>
        <v>0</v>
      </c>
      <c r="H35" s="404">
        <f t="shared" si="0"/>
        <v>0</v>
      </c>
      <c r="I35" s="421">
        <f>IF($Q$1&gt;0,TGsh!E33*$M$4%+TGsh!F33*(1-$M$4%),0)</f>
        <v>0</v>
      </c>
      <c r="J35" s="302">
        <f t="shared" si="8"/>
        <v>0</v>
      </c>
      <c r="K35" s="297" t="str">
        <f>$K$7</f>
        <v xml:space="preserve">Mort Sem </v>
      </c>
      <c r="L35" s="289">
        <f>SUM(D34:D40)</f>
        <v>0</v>
      </c>
      <c r="M35" s="280">
        <f>IF(J33&gt;0,L35/J33,0)</f>
        <v>0</v>
      </c>
      <c r="N35" s="281">
        <f ca="1">SUM(TGsh!G32:G38)</f>
        <v>0</v>
      </c>
      <c r="O35" s="310">
        <f>'G1'!O35+'G2'!O35+'G3'!O35+'G4'!O35</f>
        <v>0</v>
      </c>
      <c r="P35" s="38">
        <f>IF('G1'!$P$5="Bulto X 40 K",'G1'!P35,'G1'!P35/40)+IF('G2'!$P$5="Bulto X 40 K",'G2'!P35,'G2'!P35/40)+IF('G3'!$P$5="Bulto X 40 K",'G3'!P35,'G3'!P35/40)+IF('G4'!$P$5="Bulto X 40 K",'G4'!P35,'G4'!P35/40)</f>
        <v>0</v>
      </c>
      <c r="Q35" s="38">
        <f>'G1'!Q35+'G2'!Q35+'G3'!Q35+'G4'!Q35</f>
        <v>0</v>
      </c>
      <c r="R35" s="315">
        <f t="shared" si="9"/>
        <v>0</v>
      </c>
      <c r="S35" s="327">
        <f>'G1'!S35+'G2'!S35+'G3'!S35+'G4'!S35</f>
        <v>0</v>
      </c>
      <c r="T35" s="328">
        <f>IF('G1'!$T$5="Bulto X 40 K",'G1'!T35,'G1'!T35/40)+IF('G2'!$T$5="Bulto X 40 K",'G2'!T35,'G2'!T35/40)+IF('G3'!$T$5="Bulto X 40 K",'G3'!T35,'G3'!T35/40)+IF('G4'!$T$5="Bulto X 40 K",'G4'!T35,'G4'!T35/40)</f>
        <v>0</v>
      </c>
      <c r="U35" s="328">
        <f>'G1'!U35+'G2'!U35+'G3'!U35+'G4'!U35</f>
        <v>0</v>
      </c>
      <c r="V35" s="35">
        <f t="shared" si="10"/>
        <v>0</v>
      </c>
      <c r="W35" s="310">
        <f>'G1'!W35+'G2'!W35+'G3'!W35+'G4'!W35</f>
        <v>0</v>
      </c>
      <c r="X35" s="38">
        <f>IF('G1'!$X$5="Bulto X 40 K",'G1'!X35,'G1'!X35/40)+IF('G2'!$X$5="Bulto X 40 K",'G2'!X35,'G2'!X35/40)+IF('G3'!$X$5="Bulto X 40 K",'G3'!X35,'G3'!X35/40)+IF('G4'!$X$5="Bulto X 40 K",'G4'!X35,'G4'!X35/40)</f>
        <v>0</v>
      </c>
      <c r="Y35" s="38">
        <f>'G1'!Y35+'G2'!Y35+'G3'!Y35+'G4'!Y35</f>
        <v>0</v>
      </c>
      <c r="Z35" s="35">
        <f t="shared" si="11"/>
        <v>0</v>
      </c>
      <c r="AA35" s="367">
        <f t="shared" si="14"/>
        <v>0</v>
      </c>
      <c r="AB35" s="368">
        <f t="shared" si="15"/>
        <v>0</v>
      </c>
      <c r="AC35" s="369">
        <f t="shared" si="16"/>
        <v>0</v>
      </c>
      <c r="AD35" s="327">
        <f t="shared" si="12"/>
        <v>0</v>
      </c>
      <c r="AE35" s="328">
        <f t="shared" si="13"/>
        <v>0</v>
      </c>
      <c r="AF35" s="350">
        <f t="shared" si="1"/>
        <v>0</v>
      </c>
      <c r="AG35" s="29">
        <f t="shared" si="17"/>
        <v>0</v>
      </c>
      <c r="AH35" s="47">
        <f>IF($M$3&gt;0,TGsh!C33*$M$4%+TGsh!D33*(1-$M$4%),0)</f>
        <v>0</v>
      </c>
      <c r="AI35" s="337">
        <f>IF(SUM(AD34:AD40)&gt;0,AVERAGEIF(AD34:AD40,"&gt;0",AG34:AG40),0)</f>
        <v>0</v>
      </c>
      <c r="AJ35" s="338" t="str">
        <f>$AJ$7</f>
        <v>Cons Acum</v>
      </c>
      <c r="AK35" s="339">
        <f>IF((J40+SUM(F$6:F40))&gt;0,SUM(AD$6:AD40)*40000/(J40+SUM(F$6:F40)),0)</f>
        <v>0</v>
      </c>
      <c r="AL35" s="340">
        <f>AL28+AL34</f>
        <v>0</v>
      </c>
      <c r="AM35" s="341" t="str">
        <f>IF(AK34&gt;0,(AK35-AL35)/AL35*100,"")</f>
        <v/>
      </c>
      <c r="AN35" s="50"/>
      <c r="AO35" s="142">
        <v>1</v>
      </c>
      <c r="AP35" s="144">
        <f>AK11</f>
        <v>0</v>
      </c>
      <c r="AQ35" s="144">
        <f>AL11</f>
        <v>0</v>
      </c>
      <c r="AR35" s="142" t="str">
        <f>AM11</f>
        <v/>
      </c>
      <c r="AS35" s="428">
        <f t="shared" si="2"/>
        <v>0</v>
      </c>
      <c r="AT35" s="428">
        <f t="shared" si="3"/>
        <v>0</v>
      </c>
      <c r="AU35" s="428">
        <f t="shared" si="4"/>
        <v>0</v>
      </c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</row>
    <row r="36" spans="1:58" ht="16.5" thickBot="1" x14ac:dyDescent="0.3">
      <c r="A36" s="929"/>
      <c r="B36" s="53" t="str">
        <f t="shared" si="5"/>
        <v/>
      </c>
      <c r="C36" s="375">
        <f t="shared" si="6"/>
        <v>31</v>
      </c>
      <c r="D36" s="383">
        <f>'G1'!D36+'G2'!D36+'G3'!D36+'G4'!D36</f>
        <v>0</v>
      </c>
      <c r="E36" s="384">
        <f>'G1'!E36+'G2'!E36+'G3'!E36+'G4'!E36</f>
        <v>0</v>
      </c>
      <c r="F36" s="385">
        <f>'G1'!F36+'G2'!F36+'G3'!F36+'G4'!F36</f>
        <v>0</v>
      </c>
      <c r="G36" s="383">
        <f>'G1'!G36+'G2'!G36+'G3'!G36+'G4'!G36</f>
        <v>0</v>
      </c>
      <c r="H36" s="404">
        <f t="shared" si="0"/>
        <v>0</v>
      </c>
      <c r="I36" s="421">
        <f>IF($Q$1&gt;0,TGsh!E34*$M$4%+TGsh!F34*(1-$M$4%),0)</f>
        <v>0</v>
      </c>
      <c r="J36" s="302">
        <f t="shared" si="8"/>
        <v>0</v>
      </c>
      <c r="K36" s="298" t="str">
        <f>$K$8</f>
        <v xml:space="preserve">Sel Sem </v>
      </c>
      <c r="L36" s="290">
        <f>SUM(E34:E40)</f>
        <v>0</v>
      </c>
      <c r="M36" s="282">
        <f>IF(J33&gt;0,L36/J33,0)</f>
        <v>0</v>
      </c>
      <c r="N36" s="283">
        <f>IF(J33&gt;0,(('G1'!N36*'G1'!J33)+('G2'!N36*'G2'!J33))/J33,0)</f>
        <v>0</v>
      </c>
      <c r="O36" s="310">
        <f>'G1'!O36+'G2'!O36+'G3'!O36+'G4'!O36</f>
        <v>0</v>
      </c>
      <c r="P36" s="38">
        <f>IF('G1'!$P$5="Bulto X 40 K",'G1'!P36,'G1'!P36/40)+IF('G2'!$P$5="Bulto X 40 K",'G2'!P36,'G2'!P36/40)+IF('G3'!$P$5="Bulto X 40 K",'G3'!P36,'G3'!P36/40)+IF('G4'!$P$5="Bulto X 40 K",'G4'!P36,'G4'!P36/40)</f>
        <v>0</v>
      </c>
      <c r="Q36" s="38">
        <f>'G1'!Q36+'G2'!Q36+'G3'!Q36+'G4'!Q36</f>
        <v>0</v>
      </c>
      <c r="R36" s="315">
        <f t="shared" si="9"/>
        <v>0</v>
      </c>
      <c r="S36" s="327">
        <f>'G1'!S36+'G2'!S36+'G3'!S36+'G4'!S36</f>
        <v>0</v>
      </c>
      <c r="T36" s="328">
        <f>IF('G1'!$T$5="Bulto X 40 K",'G1'!T36,'G1'!T36/40)+IF('G2'!$T$5="Bulto X 40 K",'G2'!T36,'G2'!T36/40)+IF('G3'!$T$5="Bulto X 40 K",'G3'!T36,'G3'!T36/40)+IF('G4'!$T$5="Bulto X 40 K",'G4'!T36,'G4'!T36/40)</f>
        <v>0</v>
      </c>
      <c r="U36" s="328">
        <f>'G1'!U36+'G2'!U36+'G3'!U36+'G4'!U36</f>
        <v>0</v>
      </c>
      <c r="V36" s="35">
        <f t="shared" si="10"/>
        <v>0</v>
      </c>
      <c r="W36" s="310">
        <f>'G1'!W36+'G2'!W36+'G3'!W36+'G4'!W36</f>
        <v>0</v>
      </c>
      <c r="X36" s="38">
        <f>IF('G1'!$X$5="Bulto X 40 K",'G1'!X36,'G1'!X36/40)+IF('G2'!$X$5="Bulto X 40 K",'G2'!X36,'G2'!X36/40)+IF('G3'!$X$5="Bulto X 40 K",'G3'!X36,'G3'!X36/40)+IF('G4'!$X$5="Bulto X 40 K",'G4'!X36,'G4'!X36/40)</f>
        <v>0</v>
      </c>
      <c r="Y36" s="38">
        <f>'G1'!Y36+'G2'!Y36+'G3'!Y36+'G4'!Y36</f>
        <v>0</v>
      </c>
      <c r="Z36" s="35">
        <f t="shared" si="11"/>
        <v>0</v>
      </c>
      <c r="AA36" s="367">
        <f t="shared" si="14"/>
        <v>0</v>
      </c>
      <c r="AB36" s="368">
        <f t="shared" si="15"/>
        <v>0</v>
      </c>
      <c r="AC36" s="369">
        <f t="shared" si="16"/>
        <v>0</v>
      </c>
      <c r="AD36" s="327">
        <f t="shared" si="12"/>
        <v>0</v>
      </c>
      <c r="AE36" s="328">
        <f t="shared" si="13"/>
        <v>0</v>
      </c>
      <c r="AF36" s="350">
        <f t="shared" si="1"/>
        <v>0</v>
      </c>
      <c r="AG36" s="29">
        <f t="shared" si="17"/>
        <v>0</v>
      </c>
      <c r="AH36" s="47">
        <f>IF($M$3&gt;0,TGsh!C34*$M$4%+TGsh!D34*(1-$M$4%),0)</f>
        <v>0</v>
      </c>
      <c r="AI36" s="40" t="str">
        <f>$AI$8</f>
        <v>Gr. Guía</v>
      </c>
      <c r="AJ36" s="4" t="str">
        <f>$AJ$8</f>
        <v>Peso Sem</v>
      </c>
      <c r="AK36" s="39">
        <f>IF(SUM(F34:F40)&gt;0,SUMPRODUCT(F34:F40,H34:H40)/SUM(F34:F40),IF((IF('G2'!AK36&gt;0,'G2'!J40,0)+IF('G1'!AK36&gt;0,'G1'!J40,0)+IF('G3'!AK36&gt;0,'G3'!J40,0)+IF('G4'!AK36&gt;0,'G4'!J40,0))&gt;0,(('G1'!AK36*'G1'!J40)+('G2'!AK36*'G2'!J40)+('G3'!AK36*'G3'!J40)+('G4'!AK36*'G4'!J40))/(IF('G2'!AK36&gt;0,'G2'!J40,0)+IF('G1'!AK36&gt;0,'G1'!J40,0)+IF('G3'!AK36&gt;0,'G3'!J40,0)+IF('G4'!AK36&gt;0,'G4'!J40,0)),0))</f>
        <v>0</v>
      </c>
      <c r="AL36" s="42">
        <f>IF($Q$1&gt;0,I40,0)</f>
        <v>0</v>
      </c>
      <c r="AM36" s="9" t="str">
        <f>IF(AK36&gt;0,(AK36-AL36)/AL36*100,"")</f>
        <v/>
      </c>
      <c r="AN36" s="50"/>
      <c r="AO36" s="142">
        <f>AO35+1</f>
        <v>2</v>
      </c>
      <c r="AP36" s="144">
        <f>AK18</f>
        <v>0</v>
      </c>
      <c r="AQ36" s="144">
        <f>AL18</f>
        <v>0</v>
      </c>
      <c r="AR36" s="142" t="str">
        <f>AM18</f>
        <v/>
      </c>
      <c r="AS36" s="428">
        <f t="shared" si="2"/>
        <v>0</v>
      </c>
      <c r="AT36" s="428">
        <f t="shared" si="3"/>
        <v>0</v>
      </c>
      <c r="AU36" s="428">
        <f t="shared" si="4"/>
        <v>0</v>
      </c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</row>
    <row r="37" spans="1:58" ht="15.75" x14ac:dyDescent="0.25">
      <c r="A37" s="929"/>
      <c r="B37" s="53" t="str">
        <f t="shared" si="5"/>
        <v/>
      </c>
      <c r="C37" s="375">
        <f t="shared" si="6"/>
        <v>32</v>
      </c>
      <c r="D37" s="383">
        <f>'G1'!D37+'G2'!D37+'G3'!D37+'G4'!D37</f>
        <v>0</v>
      </c>
      <c r="E37" s="384">
        <f>'G1'!E37+'G2'!E37+'G3'!E37+'G4'!E37</f>
        <v>0</v>
      </c>
      <c r="F37" s="385">
        <f>'G1'!F37+'G2'!F37+'G3'!F37+'G4'!F37</f>
        <v>0</v>
      </c>
      <c r="G37" s="383">
        <f>'G1'!G37+'G2'!G37+'G3'!G37+'G4'!G37</f>
        <v>0</v>
      </c>
      <c r="H37" s="404">
        <f t="shared" si="0"/>
        <v>0</v>
      </c>
      <c r="I37" s="421">
        <f>IF($Q$1&gt;0,TGsh!E35*$M$4%+TGsh!F35*(1-$M$4%),0)</f>
        <v>0</v>
      </c>
      <c r="J37" s="302">
        <f t="shared" si="8"/>
        <v>0</v>
      </c>
      <c r="K37" s="299" t="str">
        <f>$K$9</f>
        <v xml:space="preserve">Mort + Sel Sem </v>
      </c>
      <c r="L37" s="291">
        <f>SUM(L35:L36)</f>
        <v>0</v>
      </c>
      <c r="M37" s="284">
        <f>IF(J33&gt;0,L37/J33,0)</f>
        <v>0</v>
      </c>
      <c r="N37" s="285">
        <f t="shared" ref="N37" ca="1" si="32">SUM(N35:N36)</f>
        <v>0</v>
      </c>
      <c r="O37" s="310">
        <f>'G1'!O37+'G2'!O37+'G3'!O37+'G4'!O37</f>
        <v>0</v>
      </c>
      <c r="P37" s="38">
        <f>IF('G1'!$P$5="Bulto X 40 K",'G1'!P37,'G1'!P37/40)+IF('G2'!$P$5="Bulto X 40 K",'G2'!P37,'G2'!P37/40)+IF('G3'!$P$5="Bulto X 40 K",'G3'!P37,'G3'!P37/40)+IF('G4'!$P$5="Bulto X 40 K",'G4'!P37,'G4'!P37/40)</f>
        <v>0</v>
      </c>
      <c r="Q37" s="38">
        <f>'G1'!Q37+'G2'!Q37+'G3'!Q37+'G4'!Q37</f>
        <v>0</v>
      </c>
      <c r="R37" s="315">
        <f t="shared" si="9"/>
        <v>0</v>
      </c>
      <c r="S37" s="327">
        <f>'G1'!S37+'G2'!S37+'G3'!S37+'G4'!S37</f>
        <v>0</v>
      </c>
      <c r="T37" s="328">
        <f>IF('G1'!$T$5="Bulto X 40 K",'G1'!T37,'G1'!T37/40)+IF('G2'!$T$5="Bulto X 40 K",'G2'!T37,'G2'!T37/40)+IF('G3'!$T$5="Bulto X 40 K",'G3'!T37,'G3'!T37/40)+IF('G4'!$T$5="Bulto X 40 K",'G4'!T37,'G4'!T37/40)</f>
        <v>0</v>
      </c>
      <c r="U37" s="328">
        <f>'G1'!U37+'G2'!U37+'G3'!U37+'G4'!U37</f>
        <v>0</v>
      </c>
      <c r="V37" s="35">
        <f t="shared" si="10"/>
        <v>0</v>
      </c>
      <c r="W37" s="310">
        <f>'G1'!W37+'G2'!W37+'G3'!W37+'G4'!W37</f>
        <v>0</v>
      </c>
      <c r="X37" s="38">
        <f>IF('G1'!$X$5="Bulto X 40 K",'G1'!X37,'G1'!X37/40)+IF('G2'!$X$5="Bulto X 40 K",'G2'!X37,'G2'!X37/40)+IF('G3'!$X$5="Bulto X 40 K",'G3'!X37,'G3'!X37/40)+IF('G4'!$X$5="Bulto X 40 K",'G4'!X37,'G4'!X37/40)</f>
        <v>0</v>
      </c>
      <c r="Y37" s="38">
        <f>'G1'!Y37+'G2'!Y37+'G3'!Y37+'G4'!Y37</f>
        <v>0</v>
      </c>
      <c r="Z37" s="35">
        <f t="shared" si="11"/>
        <v>0</v>
      </c>
      <c r="AA37" s="367">
        <f t="shared" si="14"/>
        <v>0</v>
      </c>
      <c r="AB37" s="368">
        <f t="shared" si="15"/>
        <v>0</v>
      </c>
      <c r="AC37" s="369">
        <f t="shared" si="16"/>
        <v>0</v>
      </c>
      <c r="AD37" s="327">
        <f t="shared" si="12"/>
        <v>0</v>
      </c>
      <c r="AE37" s="328">
        <f t="shared" si="13"/>
        <v>0</v>
      </c>
      <c r="AF37" s="350">
        <f t="shared" si="1"/>
        <v>0</v>
      </c>
      <c r="AG37" s="29">
        <f t="shared" si="17"/>
        <v>0</v>
      </c>
      <c r="AH37" s="47">
        <f>IF($M$3&gt;0,TGsh!C35*$M$4%+TGsh!D35*(1-$M$4%),0)</f>
        <v>0</v>
      </c>
      <c r="AI37" s="337">
        <f>IF(SUM(AD34:AD40)&gt;0,AVERAGEIF(AD34:AD40,"&gt;0",AH34:AH40),0)</f>
        <v>0</v>
      </c>
      <c r="AJ37" s="5" t="str">
        <f t="shared" ref="AJ37" si="33">AJ30</f>
        <v>Gan Dia</v>
      </c>
      <c r="AK37" s="6">
        <f>IF(AND(AK29&gt;0,AK36&gt;0),(AK36-AK29)/(COUNTIF(AD34:AD40,"&gt;0")),0)</f>
        <v>0</v>
      </c>
      <c r="AL37" s="43">
        <f>IF(AND(AL29&gt;0,AL36&gt;0,COUNTIF(AD34:AD40,"&gt;0")),(AL36-AL29)/COUNTIF(AD34:AD40,"&gt;0"),0)</f>
        <v>0</v>
      </c>
      <c r="AM37" s="10" t="str">
        <f>IF(AK37&gt;0,(AK37-AL37)/AL37*100,"")</f>
        <v/>
      </c>
      <c r="AN37" s="354"/>
      <c r="AO37" s="142">
        <f t="shared" ref="AO37:AO42" si="34">AO36+1</f>
        <v>3</v>
      </c>
      <c r="AP37" s="144">
        <f>AK25</f>
        <v>0</v>
      </c>
      <c r="AQ37" s="144">
        <f>AL25</f>
        <v>0</v>
      </c>
      <c r="AR37" s="142" t="str">
        <f>AM25</f>
        <v/>
      </c>
      <c r="AS37" s="428">
        <f t="shared" si="2"/>
        <v>0</v>
      </c>
      <c r="AT37" s="428">
        <f t="shared" si="3"/>
        <v>0</v>
      </c>
      <c r="AU37" s="428">
        <f t="shared" si="4"/>
        <v>0</v>
      </c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</row>
    <row r="38" spans="1:58" ht="15.75" customHeight="1" x14ac:dyDescent="0.25">
      <c r="A38" s="929"/>
      <c r="B38" s="53" t="str">
        <f t="shared" si="5"/>
        <v/>
      </c>
      <c r="C38" s="375">
        <f t="shared" si="6"/>
        <v>33</v>
      </c>
      <c r="D38" s="383">
        <f>'G1'!D38+'G2'!D38+'G3'!D38+'G4'!D38</f>
        <v>0</v>
      </c>
      <c r="E38" s="384">
        <f>'G1'!E38+'G2'!E38+'G3'!E38+'G4'!E38</f>
        <v>0</v>
      </c>
      <c r="F38" s="385">
        <f>'G1'!F38+'G2'!F38+'G3'!F38+'G4'!F38</f>
        <v>0</v>
      </c>
      <c r="G38" s="383">
        <f>'G1'!G38+'G2'!G38+'G3'!G38+'G4'!G38</f>
        <v>0</v>
      </c>
      <c r="H38" s="404">
        <f t="shared" si="0"/>
        <v>0</v>
      </c>
      <c r="I38" s="421">
        <f>IF($Q$1&gt;0,TGsh!E36*$M$4%+TGsh!F36*(1-$M$4%),0)</f>
        <v>0</v>
      </c>
      <c r="J38" s="302">
        <f t="shared" si="8"/>
        <v>0</v>
      </c>
      <c r="K38" s="300" t="str">
        <f>$K$10</f>
        <v xml:space="preserve">Mort Acum </v>
      </c>
      <c r="L38" s="292">
        <f>L35+L31</f>
        <v>0</v>
      </c>
      <c r="M38" s="286">
        <f>IF($M$3&gt;0,L38/$M$3,0)</f>
        <v>0</v>
      </c>
      <c r="N38" s="255">
        <f ca="1">TGsh!H38</f>
        <v>0</v>
      </c>
      <c r="O38" s="310">
        <f>'G1'!O38+'G2'!O38+'G3'!O38+'G4'!O38</f>
        <v>0</v>
      </c>
      <c r="P38" s="38">
        <f>IF('G1'!$P$5="Bulto X 40 K",'G1'!P38,'G1'!P38/40)+IF('G2'!$P$5="Bulto X 40 K",'G2'!P38,'G2'!P38/40)+IF('G3'!$P$5="Bulto X 40 K",'G3'!P38,'G3'!P38/40)+IF('G4'!$P$5="Bulto X 40 K",'G4'!P38,'G4'!P38/40)</f>
        <v>0</v>
      </c>
      <c r="Q38" s="38">
        <f>'G1'!Q38+'G2'!Q38+'G3'!Q38+'G4'!Q38</f>
        <v>0</v>
      </c>
      <c r="R38" s="315">
        <f t="shared" si="9"/>
        <v>0</v>
      </c>
      <c r="S38" s="327">
        <f>'G1'!S38+'G2'!S38+'G3'!S38+'G4'!S38</f>
        <v>0</v>
      </c>
      <c r="T38" s="328">
        <f>IF('G1'!$T$5="Bulto X 40 K",'G1'!T38,'G1'!T38/40)+IF('G2'!$T$5="Bulto X 40 K",'G2'!T38,'G2'!T38/40)+IF('G3'!$T$5="Bulto X 40 K",'G3'!T38,'G3'!T38/40)+IF('G4'!$T$5="Bulto X 40 K",'G4'!T38,'G4'!T38/40)</f>
        <v>0</v>
      </c>
      <c r="U38" s="328">
        <f>'G1'!U38+'G2'!U38+'G3'!U38+'G4'!U38</f>
        <v>0</v>
      </c>
      <c r="V38" s="35">
        <f t="shared" si="10"/>
        <v>0</v>
      </c>
      <c r="W38" s="310">
        <f>'G1'!W38+'G2'!W38+'G3'!W38+'G4'!W38</f>
        <v>0</v>
      </c>
      <c r="X38" s="38">
        <f>IF('G1'!$X$5="Bulto X 40 K",'G1'!X38,'G1'!X38/40)+IF('G2'!$X$5="Bulto X 40 K",'G2'!X38,'G2'!X38/40)+IF('G3'!$X$5="Bulto X 40 K",'G3'!X38,'G3'!X38/40)+IF('G4'!$X$5="Bulto X 40 K",'G4'!X38,'G4'!X38/40)</f>
        <v>0</v>
      </c>
      <c r="Y38" s="38">
        <f>'G1'!Y38+'G2'!Y38+'G3'!Y38+'G4'!Y38</f>
        <v>0</v>
      </c>
      <c r="Z38" s="35">
        <f t="shared" si="11"/>
        <v>0</v>
      </c>
      <c r="AA38" s="367">
        <f t="shared" si="14"/>
        <v>0</v>
      </c>
      <c r="AB38" s="368">
        <f t="shared" ref="AB38:AB61" si="35">Q38+U38+Y38</f>
        <v>0</v>
      </c>
      <c r="AC38" s="369">
        <f t="shared" si="16"/>
        <v>0</v>
      </c>
      <c r="AD38" s="327">
        <f t="shared" ref="AD38:AD61" si="36">IF(P$5="Bulto X 40 K",P38,P38/40)+IF(T$5="Bulto X 40 K",T38,T38/40)+IF(X$5="Bulto X 40 K",X38,X38/40)</f>
        <v>0</v>
      </c>
      <c r="AE38" s="328">
        <f t="shared" si="13"/>
        <v>0</v>
      </c>
      <c r="AF38" s="350">
        <f t="shared" ref="AF38:AF61" si="37">MROUND(AH38*SUM(D38:F38,J38)/40000,0.1)</f>
        <v>0</v>
      </c>
      <c r="AG38" s="29">
        <f t="shared" ref="AG38:AG61" si="38">IF((J38+F38)&gt;0,AD38*40000/(J38+F38),0)</f>
        <v>0</v>
      </c>
      <c r="AH38" s="47">
        <f>IF($M$3&gt;0,TGsh!C36*$M$4%+TGsh!D36*(1-$M$4%),0)</f>
        <v>0</v>
      </c>
      <c r="AI38" s="891" t="s">
        <v>46</v>
      </c>
      <c r="AJ38" s="7" t="str">
        <f>$AJ$10</f>
        <v>Conversión</v>
      </c>
      <c r="AK38" s="13">
        <f>IF(AK36&gt;0,AK35/AK36,0)</f>
        <v>0</v>
      </c>
      <c r="AL38" s="44">
        <f>IF(AL36&gt;0,AL35/AL36,0)</f>
        <v>0</v>
      </c>
      <c r="AM38" s="11" t="str">
        <f>IF(AK36&gt;0,-(AK38-AL38)/AL38*100,"")</f>
        <v/>
      </c>
      <c r="AN38" s="50"/>
      <c r="AO38" s="142">
        <f t="shared" si="34"/>
        <v>4</v>
      </c>
      <c r="AP38" s="144">
        <f>AK32</f>
        <v>0</v>
      </c>
      <c r="AQ38" s="144">
        <f>AL32</f>
        <v>0</v>
      </c>
      <c r="AR38" s="142" t="str">
        <f>AM32</f>
        <v/>
      </c>
      <c r="AS38" s="428">
        <f t="shared" ref="AS38:AS61" si="39">IF($AD38&gt;0,IF(P$5="Bulto X 40 K",P38,P38/40)/$AD38,0)</f>
        <v>0</v>
      </c>
      <c r="AT38" s="428">
        <f t="shared" ref="AT38:AT61" si="40">IF($AD38&gt;0,IF(T$5="Bulto X 40 K",T38,T38/40)/$AD38,0)</f>
        <v>0</v>
      </c>
      <c r="AU38" s="428">
        <f t="shared" ref="AU38:AU61" si="41">IF($AD38&gt;0,IF(X$5="Bulto X 40 K",X38,X38/40)/$AD38,0)</f>
        <v>0</v>
      </c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</row>
    <row r="39" spans="1:58" ht="15.75" x14ac:dyDescent="0.25">
      <c r="A39" s="929"/>
      <c r="B39" s="53" t="str">
        <f t="shared" si="5"/>
        <v/>
      </c>
      <c r="C39" s="375">
        <f t="shared" ref="C39:C61" si="42">C38+1</f>
        <v>34</v>
      </c>
      <c r="D39" s="383">
        <f>'G1'!D39+'G2'!D39+'G3'!D39+'G4'!D39</f>
        <v>0</v>
      </c>
      <c r="E39" s="384">
        <f>'G1'!E39+'G2'!E39+'G3'!E39+'G4'!E39</f>
        <v>0</v>
      </c>
      <c r="F39" s="385">
        <f>'G1'!F39+'G2'!F39+'G3'!F39+'G4'!F39</f>
        <v>0</v>
      </c>
      <c r="G39" s="410">
        <f>'G1'!G39+'G2'!G39+'G3'!G39+'G4'!G39</f>
        <v>0</v>
      </c>
      <c r="H39" s="405">
        <f t="shared" si="0"/>
        <v>0</v>
      </c>
      <c r="I39" s="420">
        <f>IF($Q$1&gt;0,TGsh!E37*$M$4%+TGsh!F37*(1-$M$4%),0)</f>
        <v>0</v>
      </c>
      <c r="J39" s="303">
        <f t="shared" ref="J39:J61" si="43">J38-SUM(D39:E39)-F39</f>
        <v>0</v>
      </c>
      <c r="K39" s="298" t="str">
        <f>$K$11</f>
        <v xml:space="preserve">Sel Acum </v>
      </c>
      <c r="L39" s="290">
        <f>L36+L32</f>
        <v>0</v>
      </c>
      <c r="M39" s="282">
        <f>IF($M$3&gt;0,L39/$M$3,0)</f>
        <v>0</v>
      </c>
      <c r="N39" s="283">
        <f t="shared" ref="N39" si="44">N36+N32</f>
        <v>0</v>
      </c>
      <c r="O39" s="310">
        <f>'G1'!O39+'G2'!O39+'G3'!O39+'G4'!O39</f>
        <v>0</v>
      </c>
      <c r="P39" s="38">
        <f>IF('G1'!$P$5="Bulto X 40 K",'G1'!P39,'G1'!P39/40)+IF('G2'!$P$5="Bulto X 40 K",'G2'!P39,'G2'!P39/40)+IF('G3'!$P$5="Bulto X 40 K",'G3'!P39,'G3'!P39/40)+IF('G4'!$P$5="Bulto X 40 K",'G4'!P39,'G4'!P39/40)</f>
        <v>0</v>
      </c>
      <c r="Q39" s="38">
        <f>'G1'!Q39+'G2'!Q39+'G3'!Q39+'G4'!Q39</f>
        <v>0</v>
      </c>
      <c r="R39" s="315">
        <f t="shared" ref="R39:R61" si="45">R38+O39-SUM(P39:Q39)</f>
        <v>0</v>
      </c>
      <c r="S39" s="327">
        <f>'G1'!S39+'G2'!S39+'G3'!S39+'G4'!S39</f>
        <v>0</v>
      </c>
      <c r="T39" s="328">
        <f>IF('G1'!$T$5="Bulto X 40 K",'G1'!T39,'G1'!T39/40)+IF('G2'!$T$5="Bulto X 40 K",'G2'!T39,'G2'!T39/40)+IF('G3'!$T$5="Bulto X 40 K",'G3'!T39,'G3'!T39/40)+IF('G4'!$T$5="Bulto X 40 K",'G4'!T39,'G4'!T39/40)</f>
        <v>0</v>
      </c>
      <c r="U39" s="328">
        <f>'G1'!U39+'G2'!U39+'G3'!U39+'G4'!U39</f>
        <v>0</v>
      </c>
      <c r="V39" s="35">
        <f t="shared" si="10"/>
        <v>0</v>
      </c>
      <c r="W39" s="310">
        <f>'G1'!W39+'G2'!W39+'G3'!W39+'G4'!W39</f>
        <v>0</v>
      </c>
      <c r="X39" s="38">
        <f>IF('G1'!$X$5="Bulto X 40 K",'G1'!X39,'G1'!X39/40)+IF('G2'!$X$5="Bulto X 40 K",'G2'!X39,'G2'!X39/40)+IF('G3'!$X$5="Bulto X 40 K",'G3'!X39,'G3'!X39/40)+IF('G4'!$X$5="Bulto X 40 K",'G4'!X39,'G4'!X39/40)</f>
        <v>0</v>
      </c>
      <c r="Y39" s="38">
        <f>'G1'!Y39+'G2'!Y39+'G3'!Y39+'G4'!Y39</f>
        <v>0</v>
      </c>
      <c r="Z39" s="35">
        <f t="shared" si="11"/>
        <v>0</v>
      </c>
      <c r="AA39" s="367">
        <f t="shared" si="14"/>
        <v>0</v>
      </c>
      <c r="AB39" s="368">
        <f t="shared" si="35"/>
        <v>0</v>
      </c>
      <c r="AC39" s="369">
        <f t="shared" ref="AC39:AC61" si="46">AC38+AA39-AD39-AB39</f>
        <v>0</v>
      </c>
      <c r="AD39" s="327">
        <f t="shared" si="36"/>
        <v>0</v>
      </c>
      <c r="AE39" s="328">
        <f t="shared" ref="AE39:AE61" si="47">AE38+AD39</f>
        <v>0</v>
      </c>
      <c r="AF39" s="350">
        <f t="shared" si="37"/>
        <v>0</v>
      </c>
      <c r="AG39" s="29">
        <f t="shared" si="38"/>
        <v>0</v>
      </c>
      <c r="AH39" s="47">
        <f>IF($M$3&gt;0,TGsh!C37*$M$4%+TGsh!D37*(1-$M$4%),0)</f>
        <v>0</v>
      </c>
      <c r="AI39" s="892"/>
      <c r="AJ39" s="7" t="str">
        <f>$AJ$11</f>
        <v>Ef. Alim</v>
      </c>
      <c r="AK39" s="12">
        <f>IF(AK38&gt;0,AK36/AK38/10,0)</f>
        <v>0</v>
      </c>
      <c r="AL39" s="45">
        <f>IF(AL38&gt;0,AL36/AL38/10,0)</f>
        <v>0</v>
      </c>
      <c r="AM39" s="11" t="str">
        <f>IF(AK39&gt;0,(AK39-AL39)/AL39*100,"")</f>
        <v/>
      </c>
      <c r="AN39" s="50"/>
      <c r="AO39" s="142">
        <f t="shared" si="34"/>
        <v>5</v>
      </c>
      <c r="AP39" s="144">
        <f>AK39</f>
        <v>0</v>
      </c>
      <c r="AQ39" s="144">
        <f>AL39</f>
        <v>0</v>
      </c>
      <c r="AR39" s="142" t="str">
        <f>AM39</f>
        <v/>
      </c>
      <c r="AS39" s="428">
        <f t="shared" si="39"/>
        <v>0</v>
      </c>
      <c r="AT39" s="428">
        <f t="shared" si="40"/>
        <v>0</v>
      </c>
      <c r="AU39" s="428">
        <f t="shared" si="41"/>
        <v>0</v>
      </c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</row>
    <row r="40" spans="1:58" ht="16.5" thickBot="1" x14ac:dyDescent="0.3">
      <c r="A40" s="930"/>
      <c r="B40" s="54" t="str">
        <f t="shared" si="5"/>
        <v/>
      </c>
      <c r="C40" s="376">
        <f t="shared" si="42"/>
        <v>35</v>
      </c>
      <c r="D40" s="388">
        <f>'G1'!D40+'G2'!D40+'G3'!D40+'G4'!D40</f>
        <v>0</v>
      </c>
      <c r="E40" s="389">
        <f>'G1'!E40+'G2'!E40+'G3'!E40+'G4'!E40</f>
        <v>0</v>
      </c>
      <c r="F40" s="390">
        <f>'G1'!F40+'G2'!F40+'G3'!F40+'G4'!F40</f>
        <v>0</v>
      </c>
      <c r="G40" s="388">
        <f>'G1'!G40+'G2'!G40+'G3'!G40+'G4'!G40</f>
        <v>0</v>
      </c>
      <c r="H40" s="406">
        <f t="shared" si="0"/>
        <v>0</v>
      </c>
      <c r="I40" s="419">
        <f>IF($Q$1&gt;0,TGsh!E38*$M$4%+TGsh!F38*(1-$M$4%),0)</f>
        <v>0</v>
      </c>
      <c r="J40" s="304">
        <f t="shared" si="43"/>
        <v>0</v>
      </c>
      <c r="K40" s="301" t="str">
        <f>$K$12</f>
        <v xml:space="preserve">Mort + Sel Acum </v>
      </c>
      <c r="L40" s="293">
        <f>L37+L33</f>
        <v>0</v>
      </c>
      <c r="M40" s="287">
        <f>IF($M$3&gt;0,L40/$M$3,0)</f>
        <v>0</v>
      </c>
      <c r="N40" s="288">
        <f t="shared" ref="N40" ca="1" si="48">SUM(N38:N39)</f>
        <v>0</v>
      </c>
      <c r="O40" s="311">
        <f>'G1'!O40+'G2'!O40+'G3'!O40+'G4'!O40</f>
        <v>0</v>
      </c>
      <c r="P40" s="49">
        <f>IF('G1'!$P$5="Bulto X 40 K",'G1'!P40,'G1'!P40/40)+IF('G2'!$P$5="Bulto X 40 K",'G2'!P40,'G2'!P40/40)+IF('G3'!$P$5="Bulto X 40 K",'G3'!P40,'G3'!P40/40)+IF('G4'!$P$5="Bulto X 40 K",'G4'!P40,'G4'!P40/40)</f>
        <v>0</v>
      </c>
      <c r="Q40" s="49">
        <f>'G1'!Q40+'G2'!Q40+'G3'!Q40+'G4'!Q40</f>
        <v>0</v>
      </c>
      <c r="R40" s="316">
        <f t="shared" si="45"/>
        <v>0</v>
      </c>
      <c r="S40" s="329">
        <f>'G1'!S40+'G2'!S40+'G3'!S40+'G4'!S40</f>
        <v>0</v>
      </c>
      <c r="T40" s="330">
        <f>IF('G1'!$T$5="Bulto X 40 K",'G1'!T40,'G1'!T40/40)+IF('G2'!$T$5="Bulto X 40 K",'G2'!T40,'G2'!T40/40)+IF('G3'!$T$5="Bulto X 40 K",'G3'!T40,'G3'!T40/40)+IF('G4'!$T$5="Bulto X 40 K",'G4'!T40,'G4'!T40/40)</f>
        <v>0</v>
      </c>
      <c r="U40" s="330">
        <f>'G1'!U40+'G2'!U40+'G3'!U40+'G4'!U40</f>
        <v>0</v>
      </c>
      <c r="V40" s="324">
        <f t="shared" si="10"/>
        <v>0</v>
      </c>
      <c r="W40" s="311">
        <f>'G1'!W40+'G2'!W40+'G3'!W40+'G4'!W40</f>
        <v>0</v>
      </c>
      <c r="X40" s="49">
        <f>IF('G1'!$X$5="Bulto X 40 K",'G1'!X40,'G1'!X40/40)+IF('G2'!$X$5="Bulto X 40 K",'G2'!X40,'G2'!X40/40)+IF('G3'!$X$5="Bulto X 40 K",'G3'!X40,'G3'!X40/40)+IF('G4'!$X$5="Bulto X 40 K",'G4'!X40,'G4'!X40/40)</f>
        <v>0</v>
      </c>
      <c r="Y40" s="49">
        <f>'G1'!Y40+'G2'!Y40+'G3'!Y40+'G4'!Y40</f>
        <v>0</v>
      </c>
      <c r="Z40" s="36">
        <f t="shared" si="11"/>
        <v>0</v>
      </c>
      <c r="AA40" s="370">
        <f t="shared" si="14"/>
        <v>0</v>
      </c>
      <c r="AB40" s="371">
        <f t="shared" si="35"/>
        <v>0</v>
      </c>
      <c r="AC40" s="372">
        <f t="shared" si="46"/>
        <v>0</v>
      </c>
      <c r="AD40" s="351">
        <f t="shared" si="36"/>
        <v>0</v>
      </c>
      <c r="AE40" s="502">
        <f t="shared" si="47"/>
        <v>0</v>
      </c>
      <c r="AF40" s="352">
        <f t="shared" si="37"/>
        <v>0</v>
      </c>
      <c r="AG40" s="30">
        <f t="shared" si="38"/>
        <v>0</v>
      </c>
      <c r="AH40" s="48">
        <f>IF($M$3&gt;0,TGsh!C38*$M$4%+TGsh!D38*(1-$M$4%),0)</f>
        <v>0</v>
      </c>
      <c r="AI40" s="342">
        <f>IF($AC$1&gt;0,AK36/1000*J40/$AC$1,0)</f>
        <v>0</v>
      </c>
      <c r="AJ40" s="343" t="str">
        <f>$AJ$12</f>
        <v>Fact. IP</v>
      </c>
      <c r="AK40" s="344">
        <f>IF(AK38&gt;0,AK39/AK38,0)</f>
        <v>0</v>
      </c>
      <c r="AL40" s="345">
        <f>IF(AL38&gt;0,AL39/AL38,0)</f>
        <v>0</v>
      </c>
      <c r="AM40" s="346" t="str">
        <f>IF(AK40&gt;0,(AK40-AL40)/AL40*100,"")</f>
        <v/>
      </c>
      <c r="AN40" s="50"/>
      <c r="AO40" s="142">
        <f t="shared" si="34"/>
        <v>6</v>
      </c>
      <c r="AP40" s="144">
        <f>AK46</f>
        <v>0</v>
      </c>
      <c r="AQ40" s="144">
        <f>AL46</f>
        <v>0</v>
      </c>
      <c r="AR40" s="142" t="str">
        <f>AM46</f>
        <v/>
      </c>
      <c r="AS40" s="428">
        <f t="shared" si="39"/>
        <v>0</v>
      </c>
      <c r="AT40" s="428">
        <f t="shared" si="40"/>
        <v>0</v>
      </c>
      <c r="AU40" s="428">
        <f t="shared" si="41"/>
        <v>0</v>
      </c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</row>
    <row r="41" spans="1:58" ht="16.5" customHeight="1" x14ac:dyDescent="0.25">
      <c r="A41" s="928" t="s">
        <v>23</v>
      </c>
      <c r="B41" s="52" t="str">
        <f t="shared" si="5"/>
        <v/>
      </c>
      <c r="C41" s="374">
        <f t="shared" si="42"/>
        <v>36</v>
      </c>
      <c r="D41" s="380">
        <f>'G1'!D41+'G2'!D41+'G3'!D41+'G4'!D41</f>
        <v>0</v>
      </c>
      <c r="E41" s="381">
        <f>'G1'!E41+'G2'!E41+'G3'!E41+'G4'!E41</f>
        <v>0</v>
      </c>
      <c r="F41" s="382">
        <f>'G1'!F41+'G2'!F41+'G3'!F41+'G4'!F41</f>
        <v>0</v>
      </c>
      <c r="G41" s="380">
        <f>'G1'!G41+'G2'!G41+'G3'!G41+'G4'!G41</f>
        <v>0</v>
      </c>
      <c r="H41" s="403">
        <f t="shared" si="0"/>
        <v>0</v>
      </c>
      <c r="I41" s="418">
        <f>IF($Q$1&gt;0,TGsh!E39*$M$4%+TGsh!F39*(1-$M$4%),0)</f>
        <v>0</v>
      </c>
      <c r="J41" s="308">
        <f t="shared" si="43"/>
        <v>0</v>
      </c>
      <c r="K41" s="294" t="str">
        <f>$K$6</f>
        <v>Item</v>
      </c>
      <c r="L41" s="295" t="str">
        <f>$L$6</f>
        <v>#</v>
      </c>
      <c r="M41" s="295" t="str">
        <f>$M$6</f>
        <v>Real %</v>
      </c>
      <c r="N41" s="296" t="str">
        <f t="shared" ref="N41" si="49">$N$6</f>
        <v>Guia %</v>
      </c>
      <c r="O41" s="309">
        <f>'G1'!O41+'G2'!O41+'G3'!O41+'G4'!O41</f>
        <v>0</v>
      </c>
      <c r="P41" s="37">
        <f>IF('G1'!$P$5="Bulto X 40 K",'G1'!P41,'G1'!P41/40)+IF('G2'!$P$5="Bulto X 40 K",'G2'!P41,'G2'!P41/40)+IF('G3'!$P$5="Bulto X 40 K",'G3'!P41,'G3'!P41/40)+IF('G4'!$P$5="Bulto X 40 K",'G4'!P41,'G4'!P41/40)</f>
        <v>0</v>
      </c>
      <c r="Q41" s="37">
        <f>'G1'!Q41+'G2'!Q41+'G3'!Q41+'G4'!Q41</f>
        <v>0</v>
      </c>
      <c r="R41" s="314">
        <f t="shared" si="45"/>
        <v>0</v>
      </c>
      <c r="S41" s="325">
        <f>'G1'!S41+'G2'!S41+'G3'!S41+'G4'!S41</f>
        <v>0</v>
      </c>
      <c r="T41" s="326">
        <f>IF('G1'!$T$5="Bulto X 40 K",'G1'!T41,'G1'!T41/40)+IF('G2'!$T$5="Bulto X 40 K",'G2'!T41,'G2'!T41/40)+IF('G3'!$T$5="Bulto X 40 K",'G3'!T41,'G3'!T41/40)+IF('G4'!$T$5="Bulto X 40 K",'G4'!T41,'G4'!T41/40)</f>
        <v>0</v>
      </c>
      <c r="U41" s="326">
        <f>'G1'!U41+'G2'!U41+'G3'!U41+'G4'!U41</f>
        <v>0</v>
      </c>
      <c r="V41" s="34">
        <f t="shared" si="10"/>
        <v>0</v>
      </c>
      <c r="W41" s="309">
        <f>'G1'!W41+'G2'!W41+'G3'!W41+'G4'!W41</f>
        <v>0</v>
      </c>
      <c r="X41" s="37">
        <f>IF('G1'!$X$5="Bulto X 40 K",'G1'!X41,'G1'!X41/40)+IF('G2'!$X$5="Bulto X 40 K",'G2'!X41,'G2'!X41/40)+IF('G3'!$X$5="Bulto X 40 K",'G3'!X41,'G3'!X41/40)+IF('G4'!$X$5="Bulto X 40 K",'G4'!X41,'G4'!X41/40)</f>
        <v>0</v>
      </c>
      <c r="Y41" s="37">
        <f>'G1'!Y41+'G2'!Y41+'G3'!Y41+'G4'!Y41</f>
        <v>0</v>
      </c>
      <c r="Z41" s="34">
        <f t="shared" si="11"/>
        <v>0</v>
      </c>
      <c r="AA41" s="364">
        <f t="shared" si="14"/>
        <v>0</v>
      </c>
      <c r="AB41" s="365">
        <f t="shared" si="35"/>
        <v>0</v>
      </c>
      <c r="AC41" s="366">
        <f t="shared" si="46"/>
        <v>0</v>
      </c>
      <c r="AD41" s="325">
        <f t="shared" si="36"/>
        <v>0</v>
      </c>
      <c r="AE41" s="326">
        <f t="shared" si="47"/>
        <v>0</v>
      </c>
      <c r="AF41" s="349">
        <f t="shared" si="37"/>
        <v>0</v>
      </c>
      <c r="AG41" s="28">
        <f t="shared" si="38"/>
        <v>0</v>
      </c>
      <c r="AH41" s="46">
        <f>IF($M$3&gt;0,TGsh!C39*$M$4%+TGsh!D39*(1-$M$4%),0)</f>
        <v>0</v>
      </c>
      <c r="AI41" s="347" t="str">
        <f>$AI$6</f>
        <v>Gr. Obten.</v>
      </c>
      <c r="AJ41" s="335" t="str">
        <f>$AJ$6</f>
        <v>Cons Sem</v>
      </c>
      <c r="AK41" s="3">
        <f>IF((J47+SUM(F41:F47))&gt;0,SUM(AD41:AD47)*40000/(J47+SUM(F41:F47)),0)</f>
        <v>0</v>
      </c>
      <c r="AL41" s="41">
        <f>SUMIF($AD41:$AD47,"&gt;0",AH41:AH47)</f>
        <v>0</v>
      </c>
      <c r="AM41" s="336" t="str">
        <f>IF(AK41&gt;0,(AK41-AL41)/AL41*100,"")</f>
        <v/>
      </c>
      <c r="AN41" s="50"/>
      <c r="AO41" s="142">
        <f t="shared" si="34"/>
        <v>7</v>
      </c>
      <c r="AP41" s="144">
        <f>AK53</f>
        <v>0</v>
      </c>
      <c r="AQ41" s="144">
        <f>AL53</f>
        <v>0</v>
      </c>
      <c r="AR41" s="142" t="str">
        <f>AM53</f>
        <v/>
      </c>
      <c r="AS41" s="428">
        <f t="shared" si="39"/>
        <v>0</v>
      </c>
      <c r="AT41" s="428">
        <f t="shared" si="40"/>
        <v>0</v>
      </c>
      <c r="AU41" s="428">
        <f t="shared" si="41"/>
        <v>0</v>
      </c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</row>
    <row r="42" spans="1:58" ht="16.5" thickBot="1" x14ac:dyDescent="0.3">
      <c r="A42" s="929"/>
      <c r="B42" s="53" t="str">
        <f t="shared" si="5"/>
        <v/>
      </c>
      <c r="C42" s="375">
        <f t="shared" si="42"/>
        <v>37</v>
      </c>
      <c r="D42" s="383">
        <f>'G1'!D42+'G2'!D42+'G3'!D42+'G4'!D42</f>
        <v>0</v>
      </c>
      <c r="E42" s="384">
        <f>'G1'!E42+'G2'!E42+'G3'!E42+'G4'!E42</f>
        <v>0</v>
      </c>
      <c r="F42" s="385">
        <f>'G1'!F42+'G2'!F42+'G3'!F42+'G4'!F42</f>
        <v>0</v>
      </c>
      <c r="G42" s="383">
        <f>'G1'!G42+'G2'!G42+'G3'!G42+'G4'!G42</f>
        <v>0</v>
      </c>
      <c r="H42" s="404">
        <f t="shared" si="0"/>
        <v>0</v>
      </c>
      <c r="I42" s="421">
        <f>IF($Q$1&gt;0,TGsh!E40*$M$4%+TGsh!F40*(1-$M$4%),0)</f>
        <v>0</v>
      </c>
      <c r="J42" s="302">
        <f t="shared" si="43"/>
        <v>0</v>
      </c>
      <c r="K42" s="297" t="str">
        <f>$K$7</f>
        <v xml:space="preserve">Mort Sem </v>
      </c>
      <c r="L42" s="289">
        <f>SUM(D41:D47)</f>
        <v>0</v>
      </c>
      <c r="M42" s="280">
        <f>IF(J40&gt;0,L42/J40,0)</f>
        <v>0</v>
      </c>
      <c r="N42" s="281">
        <f ca="1">SUM(TGsh!G39:G45)</f>
        <v>0</v>
      </c>
      <c r="O42" s="310">
        <f>'G1'!O42+'G2'!O42+'G3'!O42+'G4'!O42</f>
        <v>0</v>
      </c>
      <c r="P42" s="38">
        <f>IF('G1'!$P$5="Bulto X 40 K",'G1'!P42,'G1'!P42/40)+IF('G2'!$P$5="Bulto X 40 K",'G2'!P42,'G2'!P42/40)+IF('G3'!$P$5="Bulto X 40 K",'G3'!P42,'G3'!P42/40)+IF('G4'!$P$5="Bulto X 40 K",'G4'!P42,'G4'!P42/40)</f>
        <v>0</v>
      </c>
      <c r="Q42" s="38">
        <f>'G1'!Q42+'G2'!Q42+'G3'!Q42+'G4'!Q42</f>
        <v>0</v>
      </c>
      <c r="R42" s="315">
        <f t="shared" si="45"/>
        <v>0</v>
      </c>
      <c r="S42" s="327">
        <f>'G1'!S42+'G2'!S42+'G3'!S42+'G4'!S42</f>
        <v>0</v>
      </c>
      <c r="T42" s="328">
        <f>IF('G1'!$T$5="Bulto X 40 K",'G1'!T42,'G1'!T42/40)+IF('G2'!$T$5="Bulto X 40 K",'G2'!T42,'G2'!T42/40)+IF('G3'!$T$5="Bulto X 40 K",'G3'!T42,'G3'!T42/40)+IF('G4'!$T$5="Bulto X 40 K",'G4'!T42,'G4'!T42/40)</f>
        <v>0</v>
      </c>
      <c r="U42" s="328">
        <f>'G1'!U42+'G2'!U42+'G3'!U42+'G4'!U42</f>
        <v>0</v>
      </c>
      <c r="V42" s="35">
        <f t="shared" si="10"/>
        <v>0</v>
      </c>
      <c r="W42" s="310">
        <f>'G1'!W42+'G2'!W42+'G3'!W42+'G4'!W42</f>
        <v>0</v>
      </c>
      <c r="X42" s="38">
        <f>IF('G1'!$X$5="Bulto X 40 K",'G1'!X42,'G1'!X42/40)+IF('G2'!$X$5="Bulto X 40 K",'G2'!X42,'G2'!X42/40)+IF('G3'!$X$5="Bulto X 40 K",'G3'!X42,'G3'!X42/40)+IF('G4'!$X$5="Bulto X 40 K",'G4'!X42,'G4'!X42/40)</f>
        <v>0</v>
      </c>
      <c r="Y42" s="38">
        <f>'G1'!Y42+'G2'!Y42+'G3'!Y42+'G4'!Y42</f>
        <v>0</v>
      </c>
      <c r="Z42" s="35">
        <f t="shared" si="11"/>
        <v>0</v>
      </c>
      <c r="AA42" s="367">
        <f t="shared" si="14"/>
        <v>0</v>
      </c>
      <c r="AB42" s="368">
        <f t="shared" si="35"/>
        <v>0</v>
      </c>
      <c r="AC42" s="369">
        <f t="shared" si="46"/>
        <v>0</v>
      </c>
      <c r="AD42" s="327">
        <f t="shared" si="36"/>
        <v>0</v>
      </c>
      <c r="AE42" s="328">
        <f t="shared" si="47"/>
        <v>0</v>
      </c>
      <c r="AF42" s="350">
        <f t="shared" si="37"/>
        <v>0</v>
      </c>
      <c r="AG42" s="29">
        <f t="shared" si="38"/>
        <v>0</v>
      </c>
      <c r="AH42" s="47">
        <f>IF($M$3&gt;0,TGsh!C40*$M$4%+TGsh!D40*(1-$M$4%),0)</f>
        <v>0</v>
      </c>
      <c r="AI42" s="337">
        <f>IF(SUM(AD41:AD47)&gt;0,AVERAGEIF(AD41:AD47,"&gt;0",AG41:AG47),0)</f>
        <v>0</v>
      </c>
      <c r="AJ42" s="338" t="str">
        <f>$AJ$7</f>
        <v>Cons Acum</v>
      </c>
      <c r="AK42" s="339">
        <f>IF((J47+SUM(F$6:F47))&gt;0,SUM(AD$6:AD47)*40000/(J47+SUM(F$6:F47)),0)</f>
        <v>0</v>
      </c>
      <c r="AL42" s="340">
        <f>AL35+AL41</f>
        <v>0</v>
      </c>
      <c r="AM42" s="341" t="str">
        <f>IF(AK41&gt;0,(AK42-AL42)/AL42*100,"")</f>
        <v/>
      </c>
      <c r="AN42" s="50"/>
      <c r="AO42" s="142">
        <f t="shared" si="34"/>
        <v>8</v>
      </c>
      <c r="AP42" s="144">
        <f>AK60</f>
        <v>0</v>
      </c>
      <c r="AQ42" s="144">
        <f>AL60</f>
        <v>0</v>
      </c>
      <c r="AR42" s="142" t="str">
        <f>AM60</f>
        <v/>
      </c>
      <c r="AS42" s="428">
        <f t="shared" si="39"/>
        <v>0</v>
      </c>
      <c r="AT42" s="428">
        <f t="shared" si="40"/>
        <v>0</v>
      </c>
      <c r="AU42" s="428">
        <f t="shared" si="41"/>
        <v>0</v>
      </c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</row>
    <row r="43" spans="1:58" ht="16.5" thickBot="1" x14ac:dyDescent="0.3">
      <c r="A43" s="929"/>
      <c r="B43" s="53" t="str">
        <f t="shared" si="5"/>
        <v/>
      </c>
      <c r="C43" s="375">
        <f t="shared" si="42"/>
        <v>38</v>
      </c>
      <c r="D43" s="383">
        <f>'G1'!D43+'G2'!D43+'G3'!D43+'G4'!D43</f>
        <v>0</v>
      </c>
      <c r="E43" s="384">
        <f>'G1'!E43+'G2'!E43+'G3'!E43+'G4'!E43</f>
        <v>0</v>
      </c>
      <c r="F43" s="385">
        <f>'G1'!F43+'G2'!F43+'G3'!F43+'G4'!F43</f>
        <v>0</v>
      </c>
      <c r="G43" s="383">
        <f>'G1'!G43+'G2'!G43+'G3'!G43+'G4'!G43</f>
        <v>0</v>
      </c>
      <c r="H43" s="404">
        <f t="shared" si="0"/>
        <v>0</v>
      </c>
      <c r="I43" s="421">
        <f>IF($Q$1&gt;0,TGsh!E41*$M$4%+TGsh!F41*(1-$M$4%),0)</f>
        <v>0</v>
      </c>
      <c r="J43" s="302">
        <f t="shared" si="43"/>
        <v>0</v>
      </c>
      <c r="K43" s="298" t="str">
        <f>$K$8</f>
        <v xml:space="preserve">Sel Sem </v>
      </c>
      <c r="L43" s="290">
        <f>SUM(E41:E47)</f>
        <v>0</v>
      </c>
      <c r="M43" s="282">
        <f>IF(J40&gt;0,L43/J40,0)</f>
        <v>0</v>
      </c>
      <c r="N43" s="283">
        <f>IF(J40&gt;0,(('G1'!N43*'G1'!J40)+('G2'!N43*'G2'!J40))/J40,0)</f>
        <v>0</v>
      </c>
      <c r="O43" s="310">
        <f>'G1'!O43+'G2'!O43+'G3'!O43+'G4'!O43</f>
        <v>0</v>
      </c>
      <c r="P43" s="38">
        <f>IF('G1'!$P$5="Bulto X 40 K",'G1'!P43,'G1'!P43/40)+IF('G2'!$P$5="Bulto X 40 K",'G2'!P43,'G2'!P43/40)+IF('G3'!$P$5="Bulto X 40 K",'G3'!P43,'G3'!P43/40)+IF('G4'!$P$5="Bulto X 40 K",'G4'!P43,'G4'!P43/40)</f>
        <v>0</v>
      </c>
      <c r="Q43" s="38">
        <f>'G1'!Q43+'G2'!Q43+'G3'!Q43+'G4'!Q43</f>
        <v>0</v>
      </c>
      <c r="R43" s="315">
        <f t="shared" si="45"/>
        <v>0</v>
      </c>
      <c r="S43" s="327">
        <f>'G1'!S43+'G2'!S43+'G3'!S43+'G4'!S43</f>
        <v>0</v>
      </c>
      <c r="T43" s="328">
        <f>IF('G1'!$T$5="Bulto X 40 K",'G1'!T43,'G1'!T43/40)+IF('G2'!$T$5="Bulto X 40 K",'G2'!T43,'G2'!T43/40)+IF('G3'!$T$5="Bulto X 40 K",'G3'!T43,'G3'!T43/40)+IF('G4'!$T$5="Bulto X 40 K",'G4'!T43,'G4'!T43/40)</f>
        <v>0</v>
      </c>
      <c r="U43" s="328">
        <f>'G1'!U43+'G2'!U43+'G3'!U43+'G4'!U43</f>
        <v>0</v>
      </c>
      <c r="V43" s="35">
        <f t="shared" si="10"/>
        <v>0</v>
      </c>
      <c r="W43" s="310">
        <f>'G1'!W43+'G2'!W43+'G3'!W43+'G4'!W43</f>
        <v>0</v>
      </c>
      <c r="X43" s="38">
        <f>IF('G1'!$X$5="Bulto X 40 K",'G1'!X43,'G1'!X43/40)+IF('G2'!$X$5="Bulto X 40 K",'G2'!X43,'G2'!X43/40)+IF('G3'!$X$5="Bulto X 40 K",'G3'!X43,'G3'!X43/40)+IF('G4'!$X$5="Bulto X 40 K",'G4'!X43,'G4'!X43/40)</f>
        <v>0</v>
      </c>
      <c r="Y43" s="38">
        <f>'G1'!Y43+'G2'!Y43+'G3'!Y43+'G4'!Y43</f>
        <v>0</v>
      </c>
      <c r="Z43" s="35">
        <f t="shared" si="11"/>
        <v>0</v>
      </c>
      <c r="AA43" s="367">
        <f t="shared" si="14"/>
        <v>0</v>
      </c>
      <c r="AB43" s="368">
        <f t="shared" si="35"/>
        <v>0</v>
      </c>
      <c r="AC43" s="369">
        <f t="shared" si="46"/>
        <v>0</v>
      </c>
      <c r="AD43" s="327">
        <f t="shared" si="36"/>
        <v>0</v>
      </c>
      <c r="AE43" s="328">
        <f t="shared" si="47"/>
        <v>0</v>
      </c>
      <c r="AF43" s="350">
        <f t="shared" si="37"/>
        <v>0</v>
      </c>
      <c r="AG43" s="29">
        <f t="shared" si="38"/>
        <v>0</v>
      </c>
      <c r="AH43" s="47">
        <f>IF($M$3&gt;0,TGsh!C41*$M$4%+TGsh!D41*(1-$M$4%),0)</f>
        <v>0</v>
      </c>
      <c r="AI43" s="40" t="str">
        <f>$AI$8</f>
        <v>Gr. Guía</v>
      </c>
      <c r="AJ43" s="4" t="str">
        <f>$AJ$8</f>
        <v>Peso Sem</v>
      </c>
      <c r="AK43" s="39">
        <f>IF(SUM(F41:F47)&gt;0,SUMPRODUCT(F41:F47,H41:H47)/SUM(F41:F47),IF((IF('G2'!AK43&gt;0,'G2'!J47,0)+IF('G1'!AK43&gt;0,'G1'!J47,0)+IF('G3'!AK43&gt;0,'G3'!J47,0)+IF('G4'!AK43&gt;0,'G4'!J47,0))&gt;0,(('G1'!AK43*'G1'!J47)+('G2'!AK43*'G2'!J47)+('G3'!AK43*'G3'!J47)+('G4'!AK43*'G4'!J47))/(IF('G2'!AK43&gt;0,'G2'!J47,0)+IF('G1'!AK43&gt;0,'G1'!J47,0)+IF('G3'!AK43&gt;0,'G3'!J47,0)+IF('G4'!AK43&gt;0,'G4'!J47,0)),0))</f>
        <v>0</v>
      </c>
      <c r="AL43" s="42">
        <f>IF($Q$1&gt;0,I47,0)</f>
        <v>0</v>
      </c>
      <c r="AM43" s="9" t="str">
        <f>IF(AK43&gt;0,(AK43-AL43)/AL43*100,"")</f>
        <v/>
      </c>
      <c r="AN43" s="50"/>
      <c r="AO43" s="143" t="s">
        <v>9</v>
      </c>
      <c r="AP43" s="143" t="s">
        <v>34</v>
      </c>
      <c r="AQ43" s="143" t="s">
        <v>35</v>
      </c>
      <c r="AR43" s="143" t="s">
        <v>14</v>
      </c>
      <c r="AS43" s="428">
        <f t="shared" si="39"/>
        <v>0</v>
      </c>
      <c r="AT43" s="428">
        <f t="shared" si="40"/>
        <v>0</v>
      </c>
      <c r="AU43" s="428">
        <f t="shared" si="41"/>
        <v>0</v>
      </c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</row>
    <row r="44" spans="1:58" ht="15.75" x14ac:dyDescent="0.25">
      <c r="A44" s="929"/>
      <c r="B44" s="53" t="str">
        <f t="shared" si="5"/>
        <v/>
      </c>
      <c r="C44" s="375">
        <f t="shared" si="42"/>
        <v>39</v>
      </c>
      <c r="D44" s="383">
        <f>'G1'!D44+'G2'!D44+'G3'!D44+'G4'!D44</f>
        <v>0</v>
      </c>
      <c r="E44" s="384">
        <f>'G1'!E44+'G2'!E44+'G3'!E44+'G4'!E44</f>
        <v>0</v>
      </c>
      <c r="F44" s="385">
        <f>'G1'!F44+'G2'!F44+'G3'!F44+'G4'!F44</f>
        <v>0</v>
      </c>
      <c r="G44" s="383">
        <f>'G1'!G44+'G2'!G44+'G3'!G44+'G4'!G44</f>
        <v>0</v>
      </c>
      <c r="H44" s="404">
        <f t="shared" si="0"/>
        <v>0</v>
      </c>
      <c r="I44" s="421">
        <f>IF($Q$1&gt;0,TGsh!E42*$M$4%+TGsh!F42*(1-$M$4%),0)</f>
        <v>0</v>
      </c>
      <c r="J44" s="302">
        <f t="shared" si="43"/>
        <v>0</v>
      </c>
      <c r="K44" s="299" t="str">
        <f>$K$9</f>
        <v xml:space="preserve">Mort + Sel Sem </v>
      </c>
      <c r="L44" s="291">
        <f>SUM(L42:L43)</f>
        <v>0</v>
      </c>
      <c r="M44" s="284">
        <f>IF(J40&gt;0,L44/J40,0)</f>
        <v>0</v>
      </c>
      <c r="N44" s="285">
        <f t="shared" ref="N44" ca="1" si="50">SUM(N42:N43)</f>
        <v>0</v>
      </c>
      <c r="O44" s="310">
        <f>'G1'!O44+'G2'!O44+'G3'!O44+'G4'!O44</f>
        <v>0</v>
      </c>
      <c r="P44" s="38">
        <f>IF('G1'!$P$5="Bulto X 40 K",'G1'!P44,'G1'!P44/40)+IF('G2'!$P$5="Bulto X 40 K",'G2'!P44,'G2'!P44/40)+IF('G3'!$P$5="Bulto X 40 K",'G3'!P44,'G3'!P44/40)+IF('G4'!$P$5="Bulto X 40 K",'G4'!P44,'G4'!P44/40)</f>
        <v>0</v>
      </c>
      <c r="Q44" s="38">
        <f>'G1'!Q44+'G2'!Q44+'G3'!Q44+'G4'!Q44</f>
        <v>0</v>
      </c>
      <c r="R44" s="315">
        <f t="shared" si="45"/>
        <v>0</v>
      </c>
      <c r="S44" s="327">
        <f>'G1'!S44+'G2'!S44+'G3'!S44+'G4'!S44</f>
        <v>0</v>
      </c>
      <c r="T44" s="328">
        <f>IF('G1'!$T$5="Bulto X 40 K",'G1'!T44,'G1'!T44/40)+IF('G2'!$T$5="Bulto X 40 K",'G2'!T44,'G2'!T44/40)+IF('G3'!$T$5="Bulto X 40 K",'G3'!T44,'G3'!T44/40)+IF('G4'!$T$5="Bulto X 40 K",'G4'!T44,'G4'!T44/40)</f>
        <v>0</v>
      </c>
      <c r="U44" s="328">
        <f>'G1'!U44+'G2'!U44+'G3'!U44+'G4'!U44</f>
        <v>0</v>
      </c>
      <c r="V44" s="35">
        <f t="shared" si="10"/>
        <v>0</v>
      </c>
      <c r="W44" s="310">
        <f>'G1'!W44+'G2'!W44+'G3'!W44+'G4'!W44</f>
        <v>0</v>
      </c>
      <c r="X44" s="38">
        <f>IF('G1'!$X$5="Bulto X 40 K",'G1'!X44,'G1'!X44/40)+IF('G2'!$X$5="Bulto X 40 K",'G2'!X44,'G2'!X44/40)+IF('G3'!$X$5="Bulto X 40 K",'G3'!X44,'G3'!X44/40)+IF('G4'!$X$5="Bulto X 40 K",'G4'!X44,'G4'!X44/40)</f>
        <v>0</v>
      </c>
      <c r="Y44" s="38">
        <f>'G1'!Y44+'G2'!Y44+'G3'!Y44+'G4'!Y44</f>
        <v>0</v>
      </c>
      <c r="Z44" s="35">
        <f t="shared" si="11"/>
        <v>0</v>
      </c>
      <c r="AA44" s="367">
        <f t="shared" si="14"/>
        <v>0</v>
      </c>
      <c r="AB44" s="368">
        <f t="shared" si="35"/>
        <v>0</v>
      </c>
      <c r="AC44" s="369">
        <f t="shared" si="46"/>
        <v>0</v>
      </c>
      <c r="AD44" s="327">
        <f t="shared" si="36"/>
        <v>0</v>
      </c>
      <c r="AE44" s="328">
        <f t="shared" si="47"/>
        <v>0</v>
      </c>
      <c r="AF44" s="350">
        <f t="shared" si="37"/>
        <v>0</v>
      </c>
      <c r="AG44" s="29">
        <f t="shared" si="38"/>
        <v>0</v>
      </c>
      <c r="AH44" s="47">
        <f>IF($M$3&gt;0,TGsh!C42*$M$4%+TGsh!D42*(1-$M$4%),0)</f>
        <v>0</v>
      </c>
      <c r="AI44" s="337">
        <f>IF(SUM(AD41:AD47)&gt;0,AVERAGEIF(AD41:AD47,"&gt;0",AH41:AH47),0)</f>
        <v>0</v>
      </c>
      <c r="AJ44" s="5" t="str">
        <f t="shared" ref="AJ44" si="51">AJ37</f>
        <v>Gan Dia</v>
      </c>
      <c r="AK44" s="6">
        <f>IF(AND(AK36&gt;0,AK43&gt;0),(AK43-AK36)/(COUNTIF(AD41:AD47,"&gt;0")),0)</f>
        <v>0</v>
      </c>
      <c r="AL44" s="43">
        <f>IF(AND(AL36&gt;0,AL43&gt;0,COUNTIF(AD41:AD47,"&gt;0")),(AL43-AL36)/COUNTIF(AD41:AD47,"&gt;0"),0)</f>
        <v>0</v>
      </c>
      <c r="AM44" s="10" t="str">
        <f>IF(AK44&gt;0,(AK44-AL44)/AL44*100,"")</f>
        <v/>
      </c>
      <c r="AN44" s="354"/>
      <c r="AO44" s="142">
        <v>1</v>
      </c>
      <c r="AP44" s="144">
        <f>AK12</f>
        <v>0</v>
      </c>
      <c r="AQ44" s="144">
        <f>AL12</f>
        <v>0</v>
      </c>
      <c r="AR44" s="142" t="str">
        <f>AM12</f>
        <v/>
      </c>
      <c r="AS44" s="428">
        <f t="shared" si="39"/>
        <v>0</v>
      </c>
      <c r="AT44" s="428">
        <f t="shared" si="40"/>
        <v>0</v>
      </c>
      <c r="AU44" s="428">
        <f t="shared" si="41"/>
        <v>0</v>
      </c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</row>
    <row r="45" spans="1:58" ht="15.75" customHeight="1" x14ac:dyDescent="0.25">
      <c r="A45" s="929"/>
      <c r="B45" s="53" t="str">
        <f t="shared" si="5"/>
        <v/>
      </c>
      <c r="C45" s="375">
        <f t="shared" si="42"/>
        <v>40</v>
      </c>
      <c r="D45" s="383">
        <f>'G1'!D45+'G2'!D45+'G3'!D45+'G4'!D45</f>
        <v>0</v>
      </c>
      <c r="E45" s="384">
        <f>'G1'!E45+'G2'!E45+'G3'!E45+'G4'!E45</f>
        <v>0</v>
      </c>
      <c r="F45" s="385">
        <f>'G1'!F45+'G2'!F45+'G3'!F45+'G4'!F45</f>
        <v>0</v>
      </c>
      <c r="G45" s="383">
        <f>'G1'!G45+'G2'!G45+'G3'!G45+'G4'!G45</f>
        <v>0</v>
      </c>
      <c r="H45" s="404">
        <f t="shared" si="0"/>
        <v>0</v>
      </c>
      <c r="I45" s="421">
        <f>IF($Q$1&gt;0,TGsh!E43*$M$4%+TGsh!F43*(1-$M$4%),0)</f>
        <v>0</v>
      </c>
      <c r="J45" s="302">
        <f t="shared" si="43"/>
        <v>0</v>
      </c>
      <c r="K45" s="300" t="str">
        <f>$K$10</f>
        <v xml:space="preserve">Mort Acum </v>
      </c>
      <c r="L45" s="292">
        <f>L42+L38</f>
        <v>0</v>
      </c>
      <c r="M45" s="286">
        <f>IF($M$3&gt;0,L45/$M$3,0)</f>
        <v>0</v>
      </c>
      <c r="N45" s="255">
        <f ca="1">TGsh!H45</f>
        <v>0</v>
      </c>
      <c r="O45" s="310">
        <f>'G1'!O45+'G2'!O45+'G3'!O45+'G4'!O45</f>
        <v>0</v>
      </c>
      <c r="P45" s="38">
        <f>IF('G1'!$P$5="Bulto X 40 K",'G1'!P45,'G1'!P45/40)+IF('G2'!$P$5="Bulto X 40 K",'G2'!P45,'G2'!P45/40)+IF('G3'!$P$5="Bulto X 40 K",'G3'!P45,'G3'!P45/40)+IF('G4'!$P$5="Bulto X 40 K",'G4'!P45,'G4'!P45/40)</f>
        <v>0</v>
      </c>
      <c r="Q45" s="38">
        <f>'G1'!Q45+'G2'!Q45+'G3'!Q45+'G4'!Q45</f>
        <v>0</v>
      </c>
      <c r="R45" s="315">
        <f t="shared" si="45"/>
        <v>0</v>
      </c>
      <c r="S45" s="327">
        <f>'G1'!S45+'G2'!S45+'G3'!S45+'G4'!S45</f>
        <v>0</v>
      </c>
      <c r="T45" s="328">
        <f>IF('G1'!$T$5="Bulto X 40 K",'G1'!T45,'G1'!T45/40)+IF('G2'!$T$5="Bulto X 40 K",'G2'!T45,'G2'!T45/40)+IF('G3'!$T$5="Bulto X 40 K",'G3'!T45,'G3'!T45/40)+IF('G4'!$T$5="Bulto X 40 K",'G4'!T45,'G4'!T45/40)</f>
        <v>0</v>
      </c>
      <c r="U45" s="328">
        <f>'G1'!U45+'G2'!U45+'G3'!U45+'G4'!U45</f>
        <v>0</v>
      </c>
      <c r="V45" s="35">
        <f t="shared" si="10"/>
        <v>0</v>
      </c>
      <c r="W45" s="310">
        <f>'G1'!W45+'G2'!W45+'G3'!W45+'G4'!W45</f>
        <v>0</v>
      </c>
      <c r="X45" s="38">
        <f>IF('G1'!$X$5="Bulto X 40 K",'G1'!X45,'G1'!X45/40)+IF('G2'!$X$5="Bulto X 40 K",'G2'!X45,'G2'!X45/40)+IF('G3'!$X$5="Bulto X 40 K",'G3'!X45,'G3'!X45/40)+IF('G4'!$X$5="Bulto X 40 K",'G4'!X45,'G4'!X45/40)</f>
        <v>0</v>
      </c>
      <c r="Y45" s="38">
        <f>'G1'!Y45+'G2'!Y45+'G3'!Y45+'G4'!Y45</f>
        <v>0</v>
      </c>
      <c r="Z45" s="35">
        <f t="shared" si="11"/>
        <v>0</v>
      </c>
      <c r="AA45" s="367">
        <f t="shared" si="14"/>
        <v>0</v>
      </c>
      <c r="AB45" s="368">
        <f t="shared" si="35"/>
        <v>0</v>
      </c>
      <c r="AC45" s="369">
        <f t="shared" si="46"/>
        <v>0</v>
      </c>
      <c r="AD45" s="327">
        <f t="shared" si="36"/>
        <v>0</v>
      </c>
      <c r="AE45" s="328">
        <f t="shared" si="47"/>
        <v>0</v>
      </c>
      <c r="AF45" s="350">
        <f t="shared" si="37"/>
        <v>0</v>
      </c>
      <c r="AG45" s="29">
        <f t="shared" si="38"/>
        <v>0</v>
      </c>
      <c r="AH45" s="47">
        <f>IF($M$3&gt;0,TGsh!C43*$M$4%+TGsh!D43*(1-$M$4%),0)</f>
        <v>0</v>
      </c>
      <c r="AI45" s="891" t="s">
        <v>46</v>
      </c>
      <c r="AJ45" s="7" t="str">
        <f>$AJ$10</f>
        <v>Conversión</v>
      </c>
      <c r="AK45" s="13">
        <f>IF(AK43&gt;0,AK42/AK43,0)</f>
        <v>0</v>
      </c>
      <c r="AL45" s="44">
        <f>IF(AL43&gt;0,AL42/AL43,0)</f>
        <v>0</v>
      </c>
      <c r="AM45" s="11" t="str">
        <f>IF(AK43&gt;0,-(AK45-AL45)/AL45*100,"")</f>
        <v/>
      </c>
      <c r="AN45" s="50"/>
      <c r="AO45" s="142">
        <f>AO44+1</f>
        <v>2</v>
      </c>
      <c r="AP45" s="144">
        <f>AK19</f>
        <v>0</v>
      </c>
      <c r="AQ45" s="144">
        <f>AL19</f>
        <v>0</v>
      </c>
      <c r="AR45" s="142" t="str">
        <f>AM19</f>
        <v/>
      </c>
      <c r="AS45" s="428">
        <f t="shared" si="39"/>
        <v>0</v>
      </c>
      <c r="AT45" s="428">
        <f t="shared" si="40"/>
        <v>0</v>
      </c>
      <c r="AU45" s="428">
        <f t="shared" si="41"/>
        <v>0</v>
      </c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</row>
    <row r="46" spans="1:58" ht="15.75" x14ac:dyDescent="0.25">
      <c r="A46" s="929"/>
      <c r="B46" s="53" t="str">
        <f t="shared" si="5"/>
        <v/>
      </c>
      <c r="C46" s="375">
        <f t="shared" si="42"/>
        <v>41</v>
      </c>
      <c r="D46" s="383">
        <f>'G1'!D46+'G2'!D46+'G3'!D46+'G4'!D46</f>
        <v>0</v>
      </c>
      <c r="E46" s="384">
        <f>'G1'!E46+'G2'!E46+'G3'!E46+'G4'!E46</f>
        <v>0</v>
      </c>
      <c r="F46" s="385">
        <f>'G1'!F46+'G2'!F46+'G3'!F46+'G4'!F46</f>
        <v>0</v>
      </c>
      <c r="G46" s="410">
        <f>'G1'!G46+'G2'!G46+'G3'!G46+'G4'!G46</f>
        <v>0</v>
      </c>
      <c r="H46" s="405">
        <f t="shared" si="0"/>
        <v>0</v>
      </c>
      <c r="I46" s="420">
        <f>IF($Q$1&gt;0,TGsh!E44*$M$4%+TGsh!F44*(1-$M$4%),0)</f>
        <v>0</v>
      </c>
      <c r="J46" s="303">
        <f t="shared" si="43"/>
        <v>0</v>
      </c>
      <c r="K46" s="298" t="str">
        <f>$K$11</f>
        <v xml:space="preserve">Sel Acum </v>
      </c>
      <c r="L46" s="290">
        <f>L43+L39</f>
        <v>0</v>
      </c>
      <c r="M46" s="282">
        <f>IF($M$3&gt;0,L46/$M$3,0)</f>
        <v>0</v>
      </c>
      <c r="N46" s="283">
        <f t="shared" ref="N46" si="52">N43+N39</f>
        <v>0</v>
      </c>
      <c r="O46" s="310">
        <f>'G1'!O46+'G2'!O46+'G3'!O46+'G4'!O46</f>
        <v>0</v>
      </c>
      <c r="P46" s="38">
        <f>IF('G1'!$P$5="Bulto X 40 K",'G1'!P46,'G1'!P46/40)+IF('G2'!$P$5="Bulto X 40 K",'G2'!P46,'G2'!P46/40)+IF('G3'!$P$5="Bulto X 40 K",'G3'!P46,'G3'!P46/40)+IF('G4'!$P$5="Bulto X 40 K",'G4'!P46,'G4'!P46/40)</f>
        <v>0</v>
      </c>
      <c r="Q46" s="38">
        <f>'G1'!Q46+'G2'!Q46+'G3'!Q46+'G4'!Q46</f>
        <v>0</v>
      </c>
      <c r="R46" s="315">
        <f t="shared" si="45"/>
        <v>0</v>
      </c>
      <c r="S46" s="327">
        <f>'G1'!S46+'G2'!S46+'G3'!S46+'G4'!S46</f>
        <v>0</v>
      </c>
      <c r="T46" s="328">
        <f>IF('G1'!$T$5="Bulto X 40 K",'G1'!T46,'G1'!T46/40)+IF('G2'!$T$5="Bulto X 40 K",'G2'!T46,'G2'!T46/40)+IF('G3'!$T$5="Bulto X 40 K",'G3'!T46,'G3'!T46/40)+IF('G4'!$T$5="Bulto X 40 K",'G4'!T46,'G4'!T46/40)</f>
        <v>0</v>
      </c>
      <c r="U46" s="328">
        <f>'G1'!U46+'G2'!U46+'G3'!U46+'G4'!U46</f>
        <v>0</v>
      </c>
      <c r="V46" s="35">
        <f t="shared" si="10"/>
        <v>0</v>
      </c>
      <c r="W46" s="310">
        <f>'G1'!W46+'G2'!W46+'G3'!W46+'G4'!W46</f>
        <v>0</v>
      </c>
      <c r="X46" s="38">
        <f>IF('G1'!$X$5="Bulto X 40 K",'G1'!X46,'G1'!X46/40)+IF('G2'!$X$5="Bulto X 40 K",'G2'!X46,'G2'!X46/40)+IF('G3'!$X$5="Bulto X 40 K",'G3'!X46,'G3'!X46/40)+IF('G4'!$X$5="Bulto X 40 K",'G4'!X46,'G4'!X46/40)</f>
        <v>0</v>
      </c>
      <c r="Y46" s="38">
        <f>'G1'!Y46+'G2'!Y46+'G3'!Y46+'G4'!Y46</f>
        <v>0</v>
      </c>
      <c r="Z46" s="35">
        <f t="shared" si="11"/>
        <v>0</v>
      </c>
      <c r="AA46" s="367">
        <f t="shared" si="14"/>
        <v>0</v>
      </c>
      <c r="AB46" s="368">
        <f t="shared" si="35"/>
        <v>0</v>
      </c>
      <c r="AC46" s="369">
        <f t="shared" si="46"/>
        <v>0</v>
      </c>
      <c r="AD46" s="327">
        <f t="shared" si="36"/>
        <v>0</v>
      </c>
      <c r="AE46" s="328">
        <f t="shared" si="47"/>
        <v>0</v>
      </c>
      <c r="AF46" s="350">
        <f t="shared" si="37"/>
        <v>0</v>
      </c>
      <c r="AG46" s="29">
        <f t="shared" si="38"/>
        <v>0</v>
      </c>
      <c r="AH46" s="47">
        <f>IF($M$3&gt;0,TGsh!C44*$M$4%+TGsh!D44*(1-$M$4%),0)</f>
        <v>0</v>
      </c>
      <c r="AI46" s="892"/>
      <c r="AJ46" s="7" t="str">
        <f>$AJ$11</f>
        <v>Ef. Alim</v>
      </c>
      <c r="AK46" s="12">
        <f>IF(AK45&gt;0,AK43/AK45/10,0)</f>
        <v>0</v>
      </c>
      <c r="AL46" s="45">
        <f>IF(AL45&gt;0,AL43/AL45/10,0)</f>
        <v>0</v>
      </c>
      <c r="AM46" s="11" t="str">
        <f>IF(AK46&gt;0,(AK46-AL46)/AL46*100,"")</f>
        <v/>
      </c>
      <c r="AN46" s="50"/>
      <c r="AO46" s="142">
        <f t="shared" ref="AO46:AO51" si="53">AO45+1</f>
        <v>3</v>
      </c>
      <c r="AP46" s="144">
        <f>AK26</f>
        <v>0</v>
      </c>
      <c r="AQ46" s="144">
        <f>AL26</f>
        <v>0</v>
      </c>
      <c r="AR46" s="142" t="str">
        <f>AM26</f>
        <v/>
      </c>
      <c r="AS46" s="428">
        <f t="shared" si="39"/>
        <v>0</v>
      </c>
      <c r="AT46" s="428">
        <f t="shared" si="40"/>
        <v>0</v>
      </c>
      <c r="AU46" s="428">
        <f t="shared" si="41"/>
        <v>0</v>
      </c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</row>
    <row r="47" spans="1:58" ht="16.5" thickBot="1" x14ac:dyDescent="0.3">
      <c r="A47" s="930"/>
      <c r="B47" s="54" t="str">
        <f t="shared" si="5"/>
        <v/>
      </c>
      <c r="C47" s="376">
        <f t="shared" si="42"/>
        <v>42</v>
      </c>
      <c r="D47" s="388">
        <f>'G1'!D47+'G2'!D47+'G3'!D47+'G4'!D47</f>
        <v>0</v>
      </c>
      <c r="E47" s="389">
        <f>'G1'!E47+'G2'!E47+'G3'!E47+'G4'!E47</f>
        <v>0</v>
      </c>
      <c r="F47" s="390">
        <f>'G1'!F47+'G2'!F47+'G3'!F47+'G4'!F47</f>
        <v>0</v>
      </c>
      <c r="G47" s="388">
        <f>'G1'!G47+'G2'!G47+'G3'!G47+'G4'!G47</f>
        <v>0</v>
      </c>
      <c r="H47" s="406">
        <f t="shared" si="0"/>
        <v>0</v>
      </c>
      <c r="I47" s="419">
        <f>IF($Q$1&gt;0,TGsh!E45*$M$4%+TGsh!F45*(1-$M$4%),0)</f>
        <v>0</v>
      </c>
      <c r="J47" s="304">
        <f t="shared" si="43"/>
        <v>0</v>
      </c>
      <c r="K47" s="301" t="str">
        <f>$K$12</f>
        <v xml:space="preserve">Mort + Sel Acum </v>
      </c>
      <c r="L47" s="293">
        <f>L44+L40</f>
        <v>0</v>
      </c>
      <c r="M47" s="287">
        <f>IF($M$3&gt;0,L47/$M$3,0)</f>
        <v>0</v>
      </c>
      <c r="N47" s="288">
        <f t="shared" ref="N47" ca="1" si="54">SUM(N45:N46)</f>
        <v>0</v>
      </c>
      <c r="O47" s="311">
        <f>'G1'!O47+'G2'!O47+'G3'!O47+'G4'!O47</f>
        <v>0</v>
      </c>
      <c r="P47" s="49">
        <f>IF('G1'!$P$5="Bulto X 40 K",'G1'!P47,'G1'!P47/40)+IF('G2'!$P$5="Bulto X 40 K",'G2'!P47,'G2'!P47/40)+IF('G3'!$P$5="Bulto X 40 K",'G3'!P47,'G3'!P47/40)+IF('G4'!$P$5="Bulto X 40 K",'G4'!P47,'G4'!P47/40)</f>
        <v>0</v>
      </c>
      <c r="Q47" s="49">
        <f>'G1'!Q47+'G2'!Q47+'G3'!Q47+'G4'!Q47</f>
        <v>0</v>
      </c>
      <c r="R47" s="316">
        <f t="shared" si="45"/>
        <v>0</v>
      </c>
      <c r="S47" s="329">
        <f>'G1'!S47+'G2'!S47+'G3'!S47+'G4'!S47</f>
        <v>0</v>
      </c>
      <c r="T47" s="330">
        <f>IF('G1'!$T$5="Bulto X 40 K",'G1'!T47,'G1'!T47/40)+IF('G2'!$T$5="Bulto X 40 K",'G2'!T47,'G2'!T47/40)+IF('G3'!$T$5="Bulto X 40 K",'G3'!T47,'G3'!T47/40)+IF('G4'!$T$5="Bulto X 40 K",'G4'!T47,'G4'!T47/40)</f>
        <v>0</v>
      </c>
      <c r="U47" s="330">
        <f>'G1'!U47+'G2'!U47+'G3'!U47+'G4'!U47</f>
        <v>0</v>
      </c>
      <c r="V47" s="324">
        <f t="shared" si="10"/>
        <v>0</v>
      </c>
      <c r="W47" s="311">
        <f>'G1'!W47+'G2'!W47+'G3'!W47+'G4'!W47</f>
        <v>0</v>
      </c>
      <c r="X47" s="49">
        <f>IF('G1'!$X$5="Bulto X 40 K",'G1'!X47,'G1'!X47/40)+IF('G2'!$X$5="Bulto X 40 K",'G2'!X47,'G2'!X47/40)+IF('G3'!$X$5="Bulto X 40 K",'G3'!X47,'G3'!X47/40)+IF('G4'!$X$5="Bulto X 40 K",'G4'!X47,'G4'!X47/40)</f>
        <v>0</v>
      </c>
      <c r="Y47" s="49">
        <f>'G1'!Y47+'G2'!Y47+'G3'!Y47+'G4'!Y47</f>
        <v>0</v>
      </c>
      <c r="Z47" s="36">
        <f t="shared" si="11"/>
        <v>0</v>
      </c>
      <c r="AA47" s="370">
        <f t="shared" si="14"/>
        <v>0</v>
      </c>
      <c r="AB47" s="371">
        <f t="shared" si="35"/>
        <v>0</v>
      </c>
      <c r="AC47" s="372">
        <f t="shared" si="46"/>
        <v>0</v>
      </c>
      <c r="AD47" s="351">
        <f t="shared" si="36"/>
        <v>0</v>
      </c>
      <c r="AE47" s="502">
        <f t="shared" si="47"/>
        <v>0</v>
      </c>
      <c r="AF47" s="352">
        <f t="shared" si="37"/>
        <v>0</v>
      </c>
      <c r="AG47" s="30">
        <f t="shared" si="38"/>
        <v>0</v>
      </c>
      <c r="AH47" s="48">
        <f>IF($M$3&gt;0,TGsh!C45*$M$4%+TGsh!D45*(1-$M$4%),0)</f>
        <v>0</v>
      </c>
      <c r="AI47" s="342">
        <f>IF($AC$1&gt;0,AK43/1000*J47/$AC$1,0)</f>
        <v>0</v>
      </c>
      <c r="AJ47" s="343" t="str">
        <f>$AJ$12</f>
        <v>Fact. IP</v>
      </c>
      <c r="AK47" s="344">
        <f>IF(AK45&gt;0,AK46/AK45,0)</f>
        <v>0</v>
      </c>
      <c r="AL47" s="345">
        <f>IF(AL45&gt;0,AL46/AL45,0)</f>
        <v>0</v>
      </c>
      <c r="AM47" s="346" t="str">
        <f>IF(AK47&gt;0,(AK47-AL47)/AL47*100,"")</f>
        <v/>
      </c>
      <c r="AN47" s="50"/>
      <c r="AO47" s="142">
        <f t="shared" si="53"/>
        <v>4</v>
      </c>
      <c r="AP47" s="144">
        <f>AK33</f>
        <v>0</v>
      </c>
      <c r="AQ47" s="144">
        <f>AL33</f>
        <v>0</v>
      </c>
      <c r="AR47" s="142" t="str">
        <f>AM33</f>
        <v/>
      </c>
      <c r="AS47" s="428">
        <f t="shared" si="39"/>
        <v>0</v>
      </c>
      <c r="AT47" s="428">
        <f t="shared" si="40"/>
        <v>0</v>
      </c>
      <c r="AU47" s="428">
        <f t="shared" si="41"/>
        <v>0</v>
      </c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</row>
    <row r="48" spans="1:58" ht="15.75" customHeight="1" x14ac:dyDescent="0.25">
      <c r="A48" s="928" t="s">
        <v>26</v>
      </c>
      <c r="B48" s="52" t="str">
        <f t="shared" si="5"/>
        <v/>
      </c>
      <c r="C48" s="374">
        <f t="shared" si="42"/>
        <v>43</v>
      </c>
      <c r="D48" s="380">
        <f>'G1'!D48+'G2'!D48+'G3'!D48+'G4'!D48</f>
        <v>0</v>
      </c>
      <c r="E48" s="381">
        <f>'G1'!E48+'G2'!E48+'G3'!E48+'G4'!E48</f>
        <v>0</v>
      </c>
      <c r="F48" s="382">
        <f>'G1'!F48+'G2'!F48+'G3'!F48+'G4'!F48</f>
        <v>0</v>
      </c>
      <c r="G48" s="380">
        <f>'G1'!G48+'G2'!G48+'G3'!G48+'G4'!G48</f>
        <v>0</v>
      </c>
      <c r="H48" s="403">
        <f t="shared" si="0"/>
        <v>0</v>
      </c>
      <c r="I48" s="418">
        <f>IF($Q$1&gt;0,TGsh!E46*$M$4%+TGsh!F46*(1-$M$4%),0)</f>
        <v>0</v>
      </c>
      <c r="J48" s="308">
        <f t="shared" si="43"/>
        <v>0</v>
      </c>
      <c r="K48" s="294" t="str">
        <f>$K$6</f>
        <v>Item</v>
      </c>
      <c r="L48" s="295" t="str">
        <f>$L$6</f>
        <v>#</v>
      </c>
      <c r="M48" s="295" t="str">
        <f>$M$6</f>
        <v>Real %</v>
      </c>
      <c r="N48" s="296" t="str">
        <f t="shared" ref="N48" si="55">$N$6</f>
        <v>Guia %</v>
      </c>
      <c r="O48" s="309">
        <f>'G1'!O48+'G2'!O48+'G3'!O48+'G4'!O48</f>
        <v>0</v>
      </c>
      <c r="P48" s="37">
        <f>IF('G1'!$P$5="Bulto X 40 K",'G1'!P48,'G1'!P48/40)+IF('G2'!$P$5="Bulto X 40 K",'G2'!P48,'G2'!P48/40)+IF('G3'!$P$5="Bulto X 40 K",'G3'!P48,'G3'!P48/40)+IF('G4'!$P$5="Bulto X 40 K",'G4'!P48,'G4'!P48/40)</f>
        <v>0</v>
      </c>
      <c r="Q48" s="37">
        <f>'G1'!Q48+'G2'!Q48+'G3'!Q48+'G4'!Q48</f>
        <v>0</v>
      </c>
      <c r="R48" s="314">
        <f t="shared" si="45"/>
        <v>0</v>
      </c>
      <c r="S48" s="325">
        <f>'G1'!S48+'G2'!S48+'G3'!S48+'G4'!S48</f>
        <v>0</v>
      </c>
      <c r="T48" s="326">
        <f>IF('G1'!$T$5="Bulto X 40 K",'G1'!T48,'G1'!T48/40)+IF('G2'!$T$5="Bulto X 40 K",'G2'!T48,'G2'!T48/40)+IF('G3'!$T$5="Bulto X 40 K",'G3'!T48,'G3'!T48/40)+IF('G4'!$T$5="Bulto X 40 K",'G4'!T48,'G4'!T48/40)</f>
        <v>0</v>
      </c>
      <c r="U48" s="326">
        <f>'G1'!U48+'G2'!U48+'G3'!U48+'G4'!U48</f>
        <v>0</v>
      </c>
      <c r="V48" s="34">
        <f t="shared" si="10"/>
        <v>0</v>
      </c>
      <c r="W48" s="309">
        <f>'G1'!W48+'G2'!W48+'G3'!W48+'G4'!W48</f>
        <v>0</v>
      </c>
      <c r="X48" s="37">
        <f>IF('G1'!$X$5="Bulto X 40 K",'G1'!X48,'G1'!X48/40)+IF('G2'!$X$5="Bulto X 40 K",'G2'!X48,'G2'!X48/40)+IF('G3'!$X$5="Bulto X 40 K",'G3'!X48,'G3'!X48/40)+IF('G4'!$X$5="Bulto X 40 K",'G4'!X48,'G4'!X48/40)</f>
        <v>0</v>
      </c>
      <c r="Y48" s="37">
        <f>'G1'!Y48+'G2'!Y48+'G3'!Y48+'G4'!Y48</f>
        <v>0</v>
      </c>
      <c r="Z48" s="34">
        <f t="shared" si="11"/>
        <v>0</v>
      </c>
      <c r="AA48" s="364">
        <f t="shared" si="14"/>
        <v>0</v>
      </c>
      <c r="AB48" s="365">
        <f t="shared" si="35"/>
        <v>0</v>
      </c>
      <c r="AC48" s="366">
        <f t="shared" si="46"/>
        <v>0</v>
      </c>
      <c r="AD48" s="325">
        <f t="shared" si="36"/>
        <v>0</v>
      </c>
      <c r="AE48" s="326">
        <f t="shared" si="47"/>
        <v>0</v>
      </c>
      <c r="AF48" s="349">
        <f t="shared" si="37"/>
        <v>0</v>
      </c>
      <c r="AG48" s="28">
        <f t="shared" si="38"/>
        <v>0</v>
      </c>
      <c r="AH48" s="46">
        <f>IF($M$3&gt;0,TGsh!C46*$M$4%+TGsh!D46*(1-$M$4%),0)</f>
        <v>0</v>
      </c>
      <c r="AI48" s="347" t="str">
        <f>$AI$6</f>
        <v>Gr. Obten.</v>
      </c>
      <c r="AJ48" s="335" t="str">
        <f>$AJ$6</f>
        <v>Cons Sem</v>
      </c>
      <c r="AK48" s="3">
        <f>IF((J54+SUM(F48:F54))&gt;0,SUM(AD48:AD54)*40000/(J54+SUM(F48:F54)),0)</f>
        <v>0</v>
      </c>
      <c r="AL48" s="41">
        <f>SUMIF($AD48:$AD54,"&gt;0",AH48:AH54)</f>
        <v>0</v>
      </c>
      <c r="AM48" s="336" t="str">
        <f>IF(AK48&gt;0,(AK48-AL48)/AL48*100,"")</f>
        <v/>
      </c>
      <c r="AN48" s="50"/>
      <c r="AO48" s="142">
        <f t="shared" si="53"/>
        <v>5</v>
      </c>
      <c r="AP48" s="144">
        <f>AK40</f>
        <v>0</v>
      </c>
      <c r="AQ48" s="144">
        <f>AL40</f>
        <v>0</v>
      </c>
      <c r="AR48" s="142" t="str">
        <f>AM40</f>
        <v/>
      </c>
      <c r="AS48" s="428">
        <f t="shared" si="39"/>
        <v>0</v>
      </c>
      <c r="AT48" s="428">
        <f t="shared" si="40"/>
        <v>0</v>
      </c>
      <c r="AU48" s="428">
        <f t="shared" si="41"/>
        <v>0</v>
      </c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</row>
    <row r="49" spans="1:58" ht="16.5" thickBot="1" x14ac:dyDescent="0.3">
      <c r="A49" s="929"/>
      <c r="B49" s="53" t="str">
        <f t="shared" si="5"/>
        <v/>
      </c>
      <c r="C49" s="375">
        <f t="shared" si="42"/>
        <v>44</v>
      </c>
      <c r="D49" s="383">
        <f>'G1'!D49+'G2'!D49+'G3'!D49+'G4'!D49</f>
        <v>0</v>
      </c>
      <c r="E49" s="384">
        <f>'G1'!E49+'G2'!E49+'G3'!E49+'G4'!E49</f>
        <v>0</v>
      </c>
      <c r="F49" s="385">
        <f>'G1'!F49+'G2'!F49+'G3'!F49+'G4'!F49</f>
        <v>0</v>
      </c>
      <c r="G49" s="383">
        <f>'G1'!G49+'G2'!G49+'G3'!G49+'G4'!G49</f>
        <v>0</v>
      </c>
      <c r="H49" s="404">
        <f t="shared" si="0"/>
        <v>0</v>
      </c>
      <c r="I49" s="421">
        <f>IF($Q$1&gt;0,TGsh!E47*$M$4%+TGsh!F47*(1-$M$4%),0)</f>
        <v>0</v>
      </c>
      <c r="J49" s="302">
        <f t="shared" si="43"/>
        <v>0</v>
      </c>
      <c r="K49" s="297" t="str">
        <f>$K$7</f>
        <v xml:space="preserve">Mort Sem </v>
      </c>
      <c r="L49" s="289">
        <f>SUM(D48:D54)</f>
        <v>0</v>
      </c>
      <c r="M49" s="280">
        <f>IF(J47&gt;0,L49/J47,0)</f>
        <v>0</v>
      </c>
      <c r="N49" s="281">
        <f ca="1">SUM(TGsh!G46:G52)</f>
        <v>0</v>
      </c>
      <c r="O49" s="310">
        <f>'G1'!O49+'G2'!O49+'G3'!O49+'G4'!O49</f>
        <v>0</v>
      </c>
      <c r="P49" s="38">
        <f>IF('G1'!$P$5="Bulto X 40 K",'G1'!P49,'G1'!P49/40)+IF('G2'!$P$5="Bulto X 40 K",'G2'!P49,'G2'!P49/40)+IF('G3'!$P$5="Bulto X 40 K",'G3'!P49,'G3'!P49/40)+IF('G4'!$P$5="Bulto X 40 K",'G4'!P49,'G4'!P49/40)</f>
        <v>0</v>
      </c>
      <c r="Q49" s="38">
        <f>'G1'!Q49+'G2'!Q49+'G3'!Q49+'G4'!Q49</f>
        <v>0</v>
      </c>
      <c r="R49" s="315">
        <f t="shared" si="45"/>
        <v>0</v>
      </c>
      <c r="S49" s="327">
        <f>'G1'!S49+'G2'!S49+'G3'!S49+'G4'!S49</f>
        <v>0</v>
      </c>
      <c r="T49" s="328">
        <f>IF('G1'!$T$5="Bulto X 40 K",'G1'!T49,'G1'!T49/40)+IF('G2'!$T$5="Bulto X 40 K",'G2'!T49,'G2'!T49/40)+IF('G3'!$T$5="Bulto X 40 K",'G3'!T49,'G3'!T49/40)+IF('G4'!$T$5="Bulto X 40 K",'G4'!T49,'G4'!T49/40)</f>
        <v>0</v>
      </c>
      <c r="U49" s="328">
        <f>'G1'!U49+'G2'!U49+'G3'!U49+'G4'!U49</f>
        <v>0</v>
      </c>
      <c r="V49" s="35">
        <f t="shared" si="10"/>
        <v>0</v>
      </c>
      <c r="W49" s="310">
        <f>'G1'!W49+'G2'!W49+'G3'!W49+'G4'!W49</f>
        <v>0</v>
      </c>
      <c r="X49" s="38">
        <f>IF('G1'!$X$5="Bulto X 40 K",'G1'!X49,'G1'!X49/40)+IF('G2'!$X$5="Bulto X 40 K",'G2'!X49,'G2'!X49/40)+IF('G3'!$X$5="Bulto X 40 K",'G3'!X49,'G3'!X49/40)+IF('G4'!$X$5="Bulto X 40 K",'G4'!X49,'G4'!X49/40)</f>
        <v>0</v>
      </c>
      <c r="Y49" s="38">
        <f>'G1'!Y49+'G2'!Y49+'G3'!Y49+'G4'!Y49</f>
        <v>0</v>
      </c>
      <c r="Z49" s="35">
        <f t="shared" si="11"/>
        <v>0</v>
      </c>
      <c r="AA49" s="367">
        <f t="shared" si="14"/>
        <v>0</v>
      </c>
      <c r="AB49" s="368">
        <f t="shared" si="35"/>
        <v>0</v>
      </c>
      <c r="AC49" s="369">
        <f t="shared" si="46"/>
        <v>0</v>
      </c>
      <c r="AD49" s="327">
        <f t="shared" si="36"/>
        <v>0</v>
      </c>
      <c r="AE49" s="328">
        <f t="shared" si="47"/>
        <v>0</v>
      </c>
      <c r="AF49" s="350">
        <f t="shared" si="37"/>
        <v>0</v>
      </c>
      <c r="AG49" s="29">
        <f t="shared" si="38"/>
        <v>0</v>
      </c>
      <c r="AH49" s="47">
        <f>IF($M$3&gt;0,TGsh!C47*$M$4%+TGsh!D47*(1-$M$4%),0)</f>
        <v>0</v>
      </c>
      <c r="AI49" s="337">
        <f>IF(SUM(AD48:AD54)&gt;0,AVERAGEIF(AD48:AD54,"&gt;0",AG48:AG54),0)</f>
        <v>0</v>
      </c>
      <c r="AJ49" s="338" t="str">
        <f>$AJ$7</f>
        <v>Cons Acum</v>
      </c>
      <c r="AK49" s="339">
        <f>IF((J54+SUM(F$6:F54))&gt;0,SUM(AD$6:AD54)*40000/(J54+SUM(F$6:F54)),0)</f>
        <v>0</v>
      </c>
      <c r="AL49" s="340">
        <f>AL42+AL48</f>
        <v>0</v>
      </c>
      <c r="AM49" s="341" t="str">
        <f>IF(AK48&gt;0,(AK49-AL49)/AL49*100,"")</f>
        <v/>
      </c>
      <c r="AN49" s="50"/>
      <c r="AO49" s="142">
        <f t="shared" si="53"/>
        <v>6</v>
      </c>
      <c r="AP49" s="144">
        <f>AK47</f>
        <v>0</v>
      </c>
      <c r="AQ49" s="144">
        <f>AL47</f>
        <v>0</v>
      </c>
      <c r="AR49" s="142" t="str">
        <f>AM47</f>
        <v/>
      </c>
      <c r="AS49" s="428">
        <f t="shared" si="39"/>
        <v>0</v>
      </c>
      <c r="AT49" s="428">
        <f t="shared" si="40"/>
        <v>0</v>
      </c>
      <c r="AU49" s="428">
        <f t="shared" si="41"/>
        <v>0</v>
      </c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</row>
    <row r="50" spans="1:58" ht="16.5" thickBot="1" x14ac:dyDescent="0.3">
      <c r="A50" s="929"/>
      <c r="B50" s="53" t="str">
        <f t="shared" si="5"/>
        <v/>
      </c>
      <c r="C50" s="375">
        <f t="shared" si="42"/>
        <v>45</v>
      </c>
      <c r="D50" s="383">
        <f>'G1'!D50+'G2'!D50+'G3'!D50+'G4'!D50</f>
        <v>0</v>
      </c>
      <c r="E50" s="384">
        <f>'G1'!E50+'G2'!E50+'G3'!E50+'G4'!E50</f>
        <v>0</v>
      </c>
      <c r="F50" s="385">
        <f>'G1'!F50+'G2'!F50+'G3'!F50+'G4'!F50</f>
        <v>0</v>
      </c>
      <c r="G50" s="383">
        <f>'G1'!G50+'G2'!G50+'G3'!G50+'G4'!G50</f>
        <v>0</v>
      </c>
      <c r="H50" s="404">
        <f t="shared" si="0"/>
        <v>0</v>
      </c>
      <c r="I50" s="421">
        <f>IF($Q$1&gt;0,TGsh!E48*$M$4%+TGsh!F48*(1-$M$4%),0)</f>
        <v>0</v>
      </c>
      <c r="J50" s="302">
        <f t="shared" si="43"/>
        <v>0</v>
      </c>
      <c r="K50" s="298" t="str">
        <f>$K$8</f>
        <v xml:space="preserve">Sel Sem </v>
      </c>
      <c r="L50" s="290">
        <f>SUM(E48:E54)</f>
        <v>0</v>
      </c>
      <c r="M50" s="282">
        <f>IF(J47&gt;0,L50/J47,0)</f>
        <v>0</v>
      </c>
      <c r="N50" s="283">
        <f>IF(J47&gt;0,(('G1'!N50*'G1'!J47)+('G2'!N50*'G2'!J47))/J47,0)</f>
        <v>0</v>
      </c>
      <c r="O50" s="310">
        <f>'G1'!O50+'G2'!O50+'G3'!O50+'G4'!O50</f>
        <v>0</v>
      </c>
      <c r="P50" s="38">
        <f>IF('G1'!$P$5="Bulto X 40 K",'G1'!P50,'G1'!P50/40)+IF('G2'!$P$5="Bulto X 40 K",'G2'!P50,'G2'!P50/40)+IF('G3'!$P$5="Bulto X 40 K",'G3'!P50,'G3'!P50/40)+IF('G4'!$P$5="Bulto X 40 K",'G4'!P50,'G4'!P50/40)</f>
        <v>0</v>
      </c>
      <c r="Q50" s="38">
        <f>'G1'!Q50+'G2'!Q50+'G3'!Q50+'G4'!Q50</f>
        <v>0</v>
      </c>
      <c r="R50" s="315">
        <f t="shared" si="45"/>
        <v>0</v>
      </c>
      <c r="S50" s="327">
        <f>'G1'!S50+'G2'!S50+'G3'!S50+'G4'!S50</f>
        <v>0</v>
      </c>
      <c r="T50" s="328">
        <f>IF('G1'!$T$5="Bulto X 40 K",'G1'!T50,'G1'!T50/40)+IF('G2'!$T$5="Bulto X 40 K",'G2'!T50,'G2'!T50/40)+IF('G3'!$T$5="Bulto X 40 K",'G3'!T50,'G3'!T50/40)+IF('G4'!$T$5="Bulto X 40 K",'G4'!T50,'G4'!T50/40)</f>
        <v>0</v>
      </c>
      <c r="U50" s="328">
        <f>'G1'!U50+'G2'!U50+'G3'!U50+'G4'!U50</f>
        <v>0</v>
      </c>
      <c r="V50" s="35">
        <f t="shared" si="10"/>
        <v>0</v>
      </c>
      <c r="W50" s="310">
        <f>'G1'!W50+'G2'!W50+'G3'!W50+'G4'!W50</f>
        <v>0</v>
      </c>
      <c r="X50" s="38">
        <f>IF('G1'!$X$5="Bulto X 40 K",'G1'!X50,'G1'!X50/40)+IF('G2'!$X$5="Bulto X 40 K",'G2'!X50,'G2'!X50/40)+IF('G3'!$X$5="Bulto X 40 K",'G3'!X50,'G3'!X50/40)+IF('G4'!$X$5="Bulto X 40 K",'G4'!X50,'G4'!X50/40)</f>
        <v>0</v>
      </c>
      <c r="Y50" s="38">
        <f>'G1'!Y50+'G2'!Y50+'G3'!Y50+'G4'!Y50</f>
        <v>0</v>
      </c>
      <c r="Z50" s="35">
        <f t="shared" si="11"/>
        <v>0</v>
      </c>
      <c r="AA50" s="367">
        <f t="shared" si="14"/>
        <v>0</v>
      </c>
      <c r="AB50" s="368">
        <f t="shared" si="35"/>
        <v>0</v>
      </c>
      <c r="AC50" s="369">
        <f t="shared" si="46"/>
        <v>0</v>
      </c>
      <c r="AD50" s="327">
        <f t="shared" si="36"/>
        <v>0</v>
      </c>
      <c r="AE50" s="328">
        <f t="shared" si="47"/>
        <v>0</v>
      </c>
      <c r="AF50" s="350">
        <f t="shared" si="37"/>
        <v>0</v>
      </c>
      <c r="AG50" s="29">
        <f t="shared" si="38"/>
        <v>0</v>
      </c>
      <c r="AH50" s="47">
        <f>IF($M$3&gt;0,TGsh!C48*$M$4%+TGsh!D48*(1-$M$4%),0)</f>
        <v>0</v>
      </c>
      <c r="AI50" s="40" t="str">
        <f>$AI$8</f>
        <v>Gr. Guía</v>
      </c>
      <c r="AJ50" s="4" t="str">
        <f>$AJ$8</f>
        <v>Peso Sem</v>
      </c>
      <c r="AK50" s="39">
        <f>IF(SUM(F48:F54)&gt;0,SUMPRODUCT(F48:F54,H48:H54)/SUM(F48:F54),IF((IF('G2'!AK50&gt;0,'G2'!J54,0)+IF('G1'!AK50&gt;0,'G1'!J54,0)+IF('G3'!AK50&gt;0,'G3'!J54,0)+IF('G4'!AK50&gt;0,'G4'!J54,0))&gt;0,(('G1'!AK50*'G1'!J54)+('G2'!AK50*'G2'!J54)+('G3'!AK50*'G3'!J54)+('G4'!AK50*'G4'!J54))/(IF('G2'!AK50&gt;0,'G2'!J54,0)+IF('G1'!AK50&gt;0,'G1'!J54,0)+IF('G3'!AK50&gt;0,'G3'!J54,0)+IF('G4'!AK50&gt;0,'G4'!J54,0)),0))</f>
        <v>0</v>
      </c>
      <c r="AL50" s="42">
        <f>IF($Q$1&gt;0,I54,0)</f>
        <v>0</v>
      </c>
      <c r="AM50" s="9" t="str">
        <f>IF(AK50&gt;0,(AK50-AL50)/AL50*100,"")</f>
        <v/>
      </c>
      <c r="AN50" s="50"/>
      <c r="AO50" s="142">
        <f t="shared" si="53"/>
        <v>7</v>
      </c>
      <c r="AP50" s="144">
        <f>AK54</f>
        <v>0</v>
      </c>
      <c r="AQ50" s="144">
        <f>AL54</f>
        <v>0</v>
      </c>
      <c r="AR50" s="142" t="str">
        <f>AM54</f>
        <v/>
      </c>
      <c r="AS50" s="428">
        <f t="shared" si="39"/>
        <v>0</v>
      </c>
      <c r="AT50" s="428">
        <f t="shared" si="40"/>
        <v>0</v>
      </c>
      <c r="AU50" s="428">
        <f t="shared" si="41"/>
        <v>0</v>
      </c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</row>
    <row r="51" spans="1:58" ht="15.75" x14ac:dyDescent="0.25">
      <c r="A51" s="929"/>
      <c r="B51" s="53" t="str">
        <f t="shared" si="5"/>
        <v/>
      </c>
      <c r="C51" s="375">
        <f t="shared" si="42"/>
        <v>46</v>
      </c>
      <c r="D51" s="383">
        <f>'G1'!D51+'G2'!D51+'G3'!D51+'G4'!D51</f>
        <v>0</v>
      </c>
      <c r="E51" s="384">
        <f>'G1'!E51+'G2'!E51+'G3'!E51+'G4'!E51</f>
        <v>0</v>
      </c>
      <c r="F51" s="385">
        <f>'G1'!F51+'G2'!F51+'G3'!F51+'G4'!F51</f>
        <v>0</v>
      </c>
      <c r="G51" s="383">
        <f>'G1'!G51+'G2'!G51+'G3'!G51+'G4'!G51</f>
        <v>0</v>
      </c>
      <c r="H51" s="404">
        <f t="shared" si="0"/>
        <v>0</v>
      </c>
      <c r="I51" s="421">
        <f>IF($Q$1&gt;0,TGsh!E49*$M$4%+TGsh!F49*(1-$M$4%),0)</f>
        <v>0</v>
      </c>
      <c r="J51" s="302">
        <f t="shared" si="43"/>
        <v>0</v>
      </c>
      <c r="K51" s="299" t="str">
        <f>$K$9</f>
        <v xml:space="preserve">Mort + Sel Sem </v>
      </c>
      <c r="L51" s="291">
        <f>SUM(L49:L50)</f>
        <v>0</v>
      </c>
      <c r="M51" s="284">
        <f>IF(J47&gt;0,L51/J47,0)</f>
        <v>0</v>
      </c>
      <c r="N51" s="285">
        <f t="shared" ref="N51" ca="1" si="56">SUM(N49:N50)</f>
        <v>0</v>
      </c>
      <c r="O51" s="310">
        <f>'G1'!O51+'G2'!O51+'G3'!O51+'G4'!O51</f>
        <v>0</v>
      </c>
      <c r="P51" s="38">
        <f>IF('G1'!$P$5="Bulto X 40 K",'G1'!P51,'G1'!P51/40)+IF('G2'!$P$5="Bulto X 40 K",'G2'!P51,'G2'!P51/40)+IF('G3'!$P$5="Bulto X 40 K",'G3'!P51,'G3'!P51/40)+IF('G4'!$P$5="Bulto X 40 K",'G4'!P51,'G4'!P51/40)</f>
        <v>0</v>
      </c>
      <c r="Q51" s="38">
        <f>'G1'!Q51+'G2'!Q51+'G3'!Q51+'G4'!Q51</f>
        <v>0</v>
      </c>
      <c r="R51" s="315">
        <f t="shared" si="45"/>
        <v>0</v>
      </c>
      <c r="S51" s="327">
        <f>'G1'!S51+'G2'!S51+'G3'!S51+'G4'!S51</f>
        <v>0</v>
      </c>
      <c r="T51" s="328">
        <f>IF('G1'!$T$5="Bulto X 40 K",'G1'!T51,'G1'!T51/40)+IF('G2'!$T$5="Bulto X 40 K",'G2'!T51,'G2'!T51/40)+IF('G3'!$T$5="Bulto X 40 K",'G3'!T51,'G3'!T51/40)+IF('G4'!$T$5="Bulto X 40 K",'G4'!T51,'G4'!T51/40)</f>
        <v>0</v>
      </c>
      <c r="U51" s="328">
        <f>'G1'!U51+'G2'!U51+'G3'!U51+'G4'!U51</f>
        <v>0</v>
      </c>
      <c r="V51" s="35">
        <f t="shared" si="10"/>
        <v>0</v>
      </c>
      <c r="W51" s="310">
        <f>'G1'!W51+'G2'!W51+'G3'!W51+'G4'!W51</f>
        <v>0</v>
      </c>
      <c r="X51" s="38">
        <f>IF('G1'!$X$5="Bulto X 40 K",'G1'!X51,'G1'!X51/40)+IF('G2'!$X$5="Bulto X 40 K",'G2'!X51,'G2'!X51/40)+IF('G3'!$X$5="Bulto X 40 K",'G3'!X51,'G3'!X51/40)+IF('G4'!$X$5="Bulto X 40 K",'G4'!X51,'G4'!X51/40)</f>
        <v>0</v>
      </c>
      <c r="Y51" s="38">
        <f>'G1'!Y51+'G2'!Y51+'G3'!Y51+'G4'!Y51</f>
        <v>0</v>
      </c>
      <c r="Z51" s="35">
        <f t="shared" si="11"/>
        <v>0</v>
      </c>
      <c r="AA51" s="367">
        <f t="shared" si="14"/>
        <v>0</v>
      </c>
      <c r="AB51" s="368">
        <f t="shared" si="35"/>
        <v>0</v>
      </c>
      <c r="AC51" s="369">
        <f t="shared" si="46"/>
        <v>0</v>
      </c>
      <c r="AD51" s="327">
        <f t="shared" si="36"/>
        <v>0</v>
      </c>
      <c r="AE51" s="328">
        <f t="shared" si="47"/>
        <v>0</v>
      </c>
      <c r="AF51" s="350">
        <f t="shared" si="37"/>
        <v>0</v>
      </c>
      <c r="AG51" s="29">
        <f t="shared" si="38"/>
        <v>0</v>
      </c>
      <c r="AH51" s="47">
        <f>IF($M$3&gt;0,TGsh!C49*$M$4%+TGsh!D49*(1-$M$4%),0)</f>
        <v>0</v>
      </c>
      <c r="AI51" s="337">
        <f>IF(SUM(AD48:AD54)&gt;0,AVERAGEIF(AD48:AD54,"&gt;0",AH48:AH54),0)</f>
        <v>0</v>
      </c>
      <c r="AJ51" s="5" t="str">
        <f t="shared" ref="AJ51" si="57">AJ44</f>
        <v>Gan Dia</v>
      </c>
      <c r="AK51" s="6">
        <f>IF(AND(AK43&gt;0,AK50&gt;0),(AK50-AK43)/(COUNTIF(AD48:AD54,"&gt;0")),0)</f>
        <v>0</v>
      </c>
      <c r="AL51" s="43">
        <f>IF(AND(AL43&gt;0,AL50&gt;0,COUNTIF(AD48:AD54,"&gt;0")),(AL50-AL43)/COUNTIF(AD48:AD54,"&gt;0"),0)</f>
        <v>0</v>
      </c>
      <c r="AM51" s="10" t="str">
        <f>IF(AK51&gt;0,(AK51-AL51)/AL51*100,"")</f>
        <v/>
      </c>
      <c r="AN51" s="354"/>
      <c r="AO51" s="142">
        <f t="shared" si="53"/>
        <v>8</v>
      </c>
      <c r="AP51" s="144">
        <f>AK61</f>
        <v>0</v>
      </c>
      <c r="AQ51" s="144">
        <f>AL61</f>
        <v>0</v>
      </c>
      <c r="AR51" s="142" t="str">
        <f>AM61</f>
        <v/>
      </c>
      <c r="AS51" s="428">
        <f t="shared" si="39"/>
        <v>0</v>
      </c>
      <c r="AT51" s="428">
        <f t="shared" si="40"/>
        <v>0</v>
      </c>
      <c r="AU51" s="428">
        <f t="shared" si="41"/>
        <v>0</v>
      </c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</row>
    <row r="52" spans="1:58" ht="15.75" customHeight="1" x14ac:dyDescent="0.25">
      <c r="A52" s="929"/>
      <c r="B52" s="53" t="str">
        <f t="shared" si="5"/>
        <v/>
      </c>
      <c r="C52" s="375">
        <f t="shared" si="42"/>
        <v>47</v>
      </c>
      <c r="D52" s="383">
        <f>'G1'!D52+'G2'!D52+'G3'!D52+'G4'!D52</f>
        <v>0</v>
      </c>
      <c r="E52" s="384">
        <f>'G1'!E52+'G2'!E52+'G3'!E52+'G4'!E52</f>
        <v>0</v>
      </c>
      <c r="F52" s="385">
        <f>'G1'!F52+'G2'!F52+'G3'!F52+'G4'!F52</f>
        <v>0</v>
      </c>
      <c r="G52" s="383">
        <f>'G1'!G52+'G2'!G52+'G3'!G52+'G4'!G52</f>
        <v>0</v>
      </c>
      <c r="H52" s="404">
        <f t="shared" si="0"/>
        <v>0</v>
      </c>
      <c r="I52" s="421">
        <f>IF($Q$1&gt;0,TGsh!E50*$M$4%+TGsh!F50*(1-$M$4%),0)</f>
        <v>0</v>
      </c>
      <c r="J52" s="302">
        <f t="shared" si="43"/>
        <v>0</v>
      </c>
      <c r="K52" s="300" t="str">
        <f>$K$10</f>
        <v xml:space="preserve">Mort Acum </v>
      </c>
      <c r="L52" s="292">
        <f>L49+L45</f>
        <v>0</v>
      </c>
      <c r="M52" s="286">
        <f>IF($M$3&gt;0,L52/$M$3,0)</f>
        <v>0</v>
      </c>
      <c r="N52" s="255">
        <f ca="1">TGsh!H52</f>
        <v>0</v>
      </c>
      <c r="O52" s="310">
        <f>'G1'!O52+'G2'!O52+'G3'!O52+'G4'!O52</f>
        <v>0</v>
      </c>
      <c r="P52" s="38">
        <f>IF('G1'!$P$5="Bulto X 40 K",'G1'!P52,'G1'!P52/40)+IF('G2'!$P$5="Bulto X 40 K",'G2'!P52,'G2'!P52/40)+IF('G3'!$P$5="Bulto X 40 K",'G3'!P52,'G3'!P52/40)+IF('G4'!$P$5="Bulto X 40 K",'G4'!P52,'G4'!P52/40)</f>
        <v>0</v>
      </c>
      <c r="Q52" s="38">
        <f>'G1'!Q52+'G2'!Q52+'G3'!Q52+'G4'!Q52</f>
        <v>0</v>
      </c>
      <c r="R52" s="315">
        <f t="shared" si="45"/>
        <v>0</v>
      </c>
      <c r="S52" s="327">
        <f>'G1'!S52+'G2'!S52+'G3'!S52+'G4'!S52</f>
        <v>0</v>
      </c>
      <c r="T52" s="328">
        <f>IF('G1'!$T$5="Bulto X 40 K",'G1'!T52,'G1'!T52/40)+IF('G2'!$T$5="Bulto X 40 K",'G2'!T52,'G2'!T52/40)+IF('G3'!$T$5="Bulto X 40 K",'G3'!T52,'G3'!T52/40)+IF('G4'!$T$5="Bulto X 40 K",'G4'!T52,'G4'!T52/40)</f>
        <v>0</v>
      </c>
      <c r="U52" s="328">
        <f>'G1'!U52+'G2'!U52+'G3'!U52+'G4'!U52</f>
        <v>0</v>
      </c>
      <c r="V52" s="35">
        <f t="shared" si="10"/>
        <v>0</v>
      </c>
      <c r="W52" s="310">
        <f>'G1'!W52+'G2'!W52+'G3'!W52+'G4'!W52</f>
        <v>0</v>
      </c>
      <c r="X52" s="38">
        <f>IF('G1'!$X$5="Bulto X 40 K",'G1'!X52,'G1'!X52/40)+IF('G2'!$X$5="Bulto X 40 K",'G2'!X52,'G2'!X52/40)+IF('G3'!$X$5="Bulto X 40 K",'G3'!X52,'G3'!X52/40)+IF('G4'!$X$5="Bulto X 40 K",'G4'!X52,'G4'!X52/40)</f>
        <v>0</v>
      </c>
      <c r="Y52" s="38">
        <f>'G1'!Y52+'G2'!Y52+'G3'!Y52+'G4'!Y52</f>
        <v>0</v>
      </c>
      <c r="Z52" s="35">
        <f t="shared" si="11"/>
        <v>0</v>
      </c>
      <c r="AA52" s="367">
        <f t="shared" si="14"/>
        <v>0</v>
      </c>
      <c r="AB52" s="368">
        <f t="shared" si="35"/>
        <v>0</v>
      </c>
      <c r="AC52" s="369">
        <f t="shared" si="46"/>
        <v>0</v>
      </c>
      <c r="AD52" s="327">
        <f t="shared" si="36"/>
        <v>0</v>
      </c>
      <c r="AE52" s="328">
        <f t="shared" si="47"/>
        <v>0</v>
      </c>
      <c r="AF52" s="350">
        <f t="shared" si="37"/>
        <v>0</v>
      </c>
      <c r="AG52" s="29">
        <f t="shared" si="38"/>
        <v>0</v>
      </c>
      <c r="AH52" s="47">
        <f>IF($M$3&gt;0,TGsh!C50*$M$4%+TGsh!D50*(1-$M$4%),0)</f>
        <v>0</v>
      </c>
      <c r="AI52" s="891" t="s">
        <v>46</v>
      </c>
      <c r="AJ52" s="7" t="str">
        <f>$AJ$10</f>
        <v>Conversión</v>
      </c>
      <c r="AK52" s="13">
        <f>IF(AK50&gt;0,AK49/AK50,0)</f>
        <v>0</v>
      </c>
      <c r="AL52" s="44">
        <f>IF(AL50&gt;0,AL49/AL50,0)</f>
        <v>0</v>
      </c>
      <c r="AM52" s="11" t="str">
        <f>IF(AK50&gt;0,-(AK52-AL52)/AL52*100,"")</f>
        <v/>
      </c>
      <c r="AN52" s="50"/>
      <c r="AO52" s="143" t="s">
        <v>9</v>
      </c>
      <c r="AP52" s="143" t="s">
        <v>47</v>
      </c>
      <c r="AQ52" s="143" t="s">
        <v>48</v>
      </c>
      <c r="AR52" s="143" t="s">
        <v>14</v>
      </c>
      <c r="AS52" s="428">
        <f t="shared" si="39"/>
        <v>0</v>
      </c>
      <c r="AT52" s="428">
        <f t="shared" si="40"/>
        <v>0</v>
      </c>
      <c r="AU52" s="428">
        <f t="shared" si="41"/>
        <v>0</v>
      </c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</row>
    <row r="53" spans="1:58" ht="15.75" x14ac:dyDescent="0.25">
      <c r="A53" s="929"/>
      <c r="B53" s="53" t="str">
        <f t="shared" si="5"/>
        <v/>
      </c>
      <c r="C53" s="375">
        <f t="shared" si="42"/>
        <v>48</v>
      </c>
      <c r="D53" s="383">
        <f>'G1'!D53+'G2'!D53+'G3'!D53+'G4'!D53</f>
        <v>0</v>
      </c>
      <c r="E53" s="384">
        <f>'G1'!E53+'G2'!E53+'G3'!E53+'G4'!E53</f>
        <v>0</v>
      </c>
      <c r="F53" s="385">
        <f>'G1'!F53+'G2'!F53+'G3'!F53+'G4'!F53</f>
        <v>0</v>
      </c>
      <c r="G53" s="410">
        <f>'G1'!G53+'G2'!G53+'G3'!G53+'G4'!G53</f>
        <v>0</v>
      </c>
      <c r="H53" s="405">
        <f t="shared" si="0"/>
        <v>0</v>
      </c>
      <c r="I53" s="420">
        <f>IF($Q$1&gt;0,TGsh!E51*$M$4%+TGsh!F51*(1-$M$4%),0)</f>
        <v>0</v>
      </c>
      <c r="J53" s="303">
        <f t="shared" si="43"/>
        <v>0</v>
      </c>
      <c r="K53" s="298" t="str">
        <f>$K$11</f>
        <v xml:space="preserve">Sel Acum </v>
      </c>
      <c r="L53" s="290">
        <f>L50+L46</f>
        <v>0</v>
      </c>
      <c r="M53" s="282">
        <f>IF($M$3&gt;0,L53/$M$3,0)</f>
        <v>0</v>
      </c>
      <c r="N53" s="283">
        <f t="shared" ref="N53" si="58">N50+N46</f>
        <v>0</v>
      </c>
      <c r="O53" s="310">
        <f>'G1'!O53+'G2'!O53+'G3'!O53+'G4'!O53</f>
        <v>0</v>
      </c>
      <c r="P53" s="38">
        <f>IF('G1'!$P$5="Bulto X 40 K",'G1'!P53,'G1'!P53/40)+IF('G2'!$P$5="Bulto X 40 K",'G2'!P53,'G2'!P53/40)+IF('G3'!$P$5="Bulto X 40 K",'G3'!P53,'G3'!P53/40)+IF('G4'!$P$5="Bulto X 40 K",'G4'!P53,'G4'!P53/40)</f>
        <v>0</v>
      </c>
      <c r="Q53" s="38">
        <f>'G1'!Q53+'G2'!Q53+'G3'!Q53+'G4'!Q53</f>
        <v>0</v>
      </c>
      <c r="R53" s="315">
        <f t="shared" si="45"/>
        <v>0</v>
      </c>
      <c r="S53" s="327">
        <f>'G1'!S53+'G2'!S53+'G3'!S53+'G4'!S53</f>
        <v>0</v>
      </c>
      <c r="T53" s="328">
        <f>IF('G1'!$T$5="Bulto X 40 K",'G1'!T53,'G1'!T53/40)+IF('G2'!$T$5="Bulto X 40 K",'G2'!T53,'G2'!T53/40)+IF('G3'!$T$5="Bulto X 40 K",'G3'!T53,'G3'!T53/40)+IF('G4'!$T$5="Bulto X 40 K",'G4'!T53,'G4'!T53/40)</f>
        <v>0</v>
      </c>
      <c r="U53" s="328">
        <f>'G1'!U53+'G2'!U53+'G3'!U53+'G4'!U53</f>
        <v>0</v>
      </c>
      <c r="V53" s="35">
        <f t="shared" si="10"/>
        <v>0</v>
      </c>
      <c r="W53" s="310">
        <f>'G1'!W53+'G2'!W53+'G3'!W53+'G4'!W53</f>
        <v>0</v>
      </c>
      <c r="X53" s="38">
        <f>IF('G1'!$X$5="Bulto X 40 K",'G1'!X53,'G1'!X53/40)+IF('G2'!$X$5="Bulto X 40 K",'G2'!X53,'G2'!X53/40)+IF('G3'!$X$5="Bulto X 40 K",'G3'!X53,'G3'!X53/40)+IF('G4'!$X$5="Bulto X 40 K",'G4'!X53,'G4'!X53/40)</f>
        <v>0</v>
      </c>
      <c r="Y53" s="38">
        <f>'G1'!Y53+'G2'!Y53+'G3'!Y53+'G4'!Y53</f>
        <v>0</v>
      </c>
      <c r="Z53" s="35">
        <f t="shared" si="11"/>
        <v>0</v>
      </c>
      <c r="AA53" s="367">
        <f t="shared" si="14"/>
        <v>0</v>
      </c>
      <c r="AB53" s="368">
        <f t="shared" si="35"/>
        <v>0</v>
      </c>
      <c r="AC53" s="369">
        <f t="shared" si="46"/>
        <v>0</v>
      </c>
      <c r="AD53" s="327">
        <f t="shared" si="36"/>
        <v>0</v>
      </c>
      <c r="AE53" s="328">
        <f t="shared" si="47"/>
        <v>0</v>
      </c>
      <c r="AF53" s="350">
        <f t="shared" si="37"/>
        <v>0</v>
      </c>
      <c r="AG53" s="29">
        <f t="shared" si="38"/>
        <v>0</v>
      </c>
      <c r="AH53" s="47">
        <f>IF($M$3&gt;0,TGsh!C51*$M$4%+TGsh!D51*(1-$M$4%),0)</f>
        <v>0</v>
      </c>
      <c r="AI53" s="892"/>
      <c r="AJ53" s="7" t="str">
        <f>$AJ$11</f>
        <v>Ef. Alim</v>
      </c>
      <c r="AK53" s="12">
        <f>IF(AK52&gt;0,AK50/AK52/10,0)</f>
        <v>0</v>
      </c>
      <c r="AL53" s="45">
        <f>IF(AL52&gt;0,AL50/AL52/10,0)</f>
        <v>0</v>
      </c>
      <c r="AM53" s="11" t="str">
        <f>IF(AK53&gt;0,(AK53-AL53)/AL53*100,"")</f>
        <v/>
      </c>
      <c r="AN53" s="50"/>
      <c r="AO53" s="142">
        <v>1</v>
      </c>
      <c r="AP53" s="144">
        <f>AI12</f>
        <v>0</v>
      </c>
      <c r="AQ53" s="144">
        <f>IF($AC$1&gt;0,AL8/1000*J12/$AC$1,0)</f>
        <v>0</v>
      </c>
      <c r="AR53" s="142" t="str">
        <f>IF(AP53&gt;0,(AP53-AQ53)/AQ53*100,"")</f>
        <v/>
      </c>
      <c r="AS53" s="428">
        <f t="shared" si="39"/>
        <v>0</v>
      </c>
      <c r="AT53" s="428">
        <f t="shared" si="40"/>
        <v>0</v>
      </c>
      <c r="AU53" s="428">
        <f t="shared" si="41"/>
        <v>0</v>
      </c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</row>
    <row r="54" spans="1:58" ht="16.5" thickBot="1" x14ac:dyDescent="0.3">
      <c r="A54" s="930"/>
      <c r="B54" s="54" t="str">
        <f t="shared" si="5"/>
        <v/>
      </c>
      <c r="C54" s="376">
        <f t="shared" si="42"/>
        <v>49</v>
      </c>
      <c r="D54" s="388">
        <f>'G1'!D54+'G2'!D54+'G3'!D54+'G4'!D54</f>
        <v>0</v>
      </c>
      <c r="E54" s="389">
        <f>'G1'!E54+'G2'!E54+'G3'!E54+'G4'!E54</f>
        <v>0</v>
      </c>
      <c r="F54" s="390">
        <f>'G1'!F54+'G2'!F54+'G3'!F54+'G4'!F54</f>
        <v>0</v>
      </c>
      <c r="G54" s="388">
        <f>'G1'!G54+'G2'!G54+'G3'!G54+'G4'!G54</f>
        <v>0</v>
      </c>
      <c r="H54" s="406">
        <f t="shared" si="0"/>
        <v>0</v>
      </c>
      <c r="I54" s="419">
        <f>IF($Q$1&gt;0,TGsh!E52*$M$4%+TGsh!F52*(1-$M$4%),0)</f>
        <v>0</v>
      </c>
      <c r="J54" s="304">
        <f t="shared" si="43"/>
        <v>0</v>
      </c>
      <c r="K54" s="301" t="str">
        <f>$K$12</f>
        <v xml:space="preserve">Mort + Sel Acum </v>
      </c>
      <c r="L54" s="293">
        <f>L51+L47</f>
        <v>0</v>
      </c>
      <c r="M54" s="287">
        <f>IF($M$3&gt;0,L54/$M$3,0)</f>
        <v>0</v>
      </c>
      <c r="N54" s="288">
        <f t="shared" ref="N54" ca="1" si="59">SUM(N52:N53)</f>
        <v>0</v>
      </c>
      <c r="O54" s="311">
        <f>'G1'!O54+'G2'!O54+'G3'!O54+'G4'!O54</f>
        <v>0</v>
      </c>
      <c r="P54" s="49">
        <f>IF('G1'!$P$5="Bulto X 40 K",'G1'!P54,'G1'!P54/40)+IF('G2'!$P$5="Bulto X 40 K",'G2'!P54,'G2'!P54/40)+IF('G3'!$P$5="Bulto X 40 K",'G3'!P54,'G3'!P54/40)+IF('G4'!$P$5="Bulto X 40 K",'G4'!P54,'G4'!P54/40)</f>
        <v>0</v>
      </c>
      <c r="Q54" s="49">
        <f>'G1'!Q54+'G2'!Q54+'G3'!Q54+'G4'!Q54</f>
        <v>0</v>
      </c>
      <c r="R54" s="316">
        <f t="shared" si="45"/>
        <v>0</v>
      </c>
      <c r="S54" s="329">
        <f>'G1'!S54+'G2'!S54+'G3'!S54+'G4'!S54</f>
        <v>0</v>
      </c>
      <c r="T54" s="330">
        <f>IF('G1'!$T$5="Bulto X 40 K",'G1'!T54,'G1'!T54/40)+IF('G2'!$T$5="Bulto X 40 K",'G2'!T54,'G2'!T54/40)+IF('G3'!$T$5="Bulto X 40 K",'G3'!T54,'G3'!T54/40)+IF('G4'!$T$5="Bulto X 40 K",'G4'!T54,'G4'!T54/40)</f>
        <v>0</v>
      </c>
      <c r="U54" s="330">
        <f>'G1'!U54+'G2'!U54+'G3'!U54+'G4'!U54</f>
        <v>0</v>
      </c>
      <c r="V54" s="324">
        <f t="shared" si="10"/>
        <v>0</v>
      </c>
      <c r="W54" s="311">
        <f>'G1'!W54+'G2'!W54+'G3'!W54+'G4'!W54</f>
        <v>0</v>
      </c>
      <c r="X54" s="49">
        <f>IF('G1'!$X$5="Bulto X 40 K",'G1'!X54,'G1'!X54/40)+IF('G2'!$X$5="Bulto X 40 K",'G2'!X54,'G2'!X54/40)+IF('G3'!$X$5="Bulto X 40 K",'G3'!X54,'G3'!X54/40)+IF('G4'!$X$5="Bulto X 40 K",'G4'!X54,'G4'!X54/40)</f>
        <v>0</v>
      </c>
      <c r="Y54" s="49">
        <f>'G1'!Y54+'G2'!Y54+'G3'!Y54+'G4'!Y54</f>
        <v>0</v>
      </c>
      <c r="Z54" s="36">
        <f t="shared" si="11"/>
        <v>0</v>
      </c>
      <c r="AA54" s="370">
        <f t="shared" si="14"/>
        <v>0</v>
      </c>
      <c r="AB54" s="371">
        <f t="shared" si="35"/>
        <v>0</v>
      </c>
      <c r="AC54" s="372">
        <f t="shared" si="46"/>
        <v>0</v>
      </c>
      <c r="AD54" s="351">
        <f t="shared" si="36"/>
        <v>0</v>
      </c>
      <c r="AE54" s="502">
        <f t="shared" si="47"/>
        <v>0</v>
      </c>
      <c r="AF54" s="352">
        <f t="shared" si="37"/>
        <v>0</v>
      </c>
      <c r="AG54" s="30">
        <f t="shared" si="38"/>
        <v>0</v>
      </c>
      <c r="AH54" s="48">
        <f>IF($M$3&gt;0,TGsh!C52*$M$4%+TGsh!D52*(1-$M$4%),0)</f>
        <v>0</v>
      </c>
      <c r="AI54" s="342">
        <f>IF($AC$1&gt;0,AK50/1000*J54/$AC$1,0)</f>
        <v>0</v>
      </c>
      <c r="AJ54" s="343" t="str">
        <f>$AJ$12</f>
        <v>Fact. IP</v>
      </c>
      <c r="AK54" s="344">
        <f>IF(AK52&gt;0,AK53/AK52,0)</f>
        <v>0</v>
      </c>
      <c r="AL54" s="345">
        <f>IF(AL52&gt;0,AL53/AL52,0)</f>
        <v>0</v>
      </c>
      <c r="AM54" s="346" t="str">
        <f>IF(AK54&gt;0,(AK54-AL54)/AL54*100,"")</f>
        <v/>
      </c>
      <c r="AN54" s="50"/>
      <c r="AO54" s="142">
        <f>AO53+1</f>
        <v>2</v>
      </c>
      <c r="AP54" s="144">
        <f>AI19</f>
        <v>0</v>
      </c>
      <c r="AQ54" s="144">
        <f>IF($AC$1&gt;0,AL15/1000*J19/$AC$1,0)</f>
        <v>0</v>
      </c>
      <c r="AR54" s="142" t="str">
        <f t="shared" ref="AR54:AR60" si="60">IF(AP54&gt;0,(AP54-AQ54)/AQ54*100,"")</f>
        <v/>
      </c>
      <c r="AS54" s="428">
        <f t="shared" si="39"/>
        <v>0</v>
      </c>
      <c r="AT54" s="428">
        <f t="shared" si="40"/>
        <v>0</v>
      </c>
      <c r="AU54" s="428">
        <f t="shared" si="41"/>
        <v>0</v>
      </c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</row>
    <row r="55" spans="1:58" ht="15.75" customHeight="1" x14ac:dyDescent="0.25">
      <c r="A55" s="928" t="s">
        <v>31</v>
      </c>
      <c r="B55" s="52" t="str">
        <f t="shared" si="5"/>
        <v/>
      </c>
      <c r="C55" s="374">
        <f t="shared" si="42"/>
        <v>50</v>
      </c>
      <c r="D55" s="380">
        <f>'G1'!D55+'G2'!D55+'G3'!D55+'G4'!D55</f>
        <v>0</v>
      </c>
      <c r="E55" s="381">
        <f>'G1'!E55+'G2'!E55+'G3'!E55+'G4'!E55</f>
        <v>0</v>
      </c>
      <c r="F55" s="382">
        <f>'G1'!F55+'G2'!F55+'G3'!F55+'G4'!F55</f>
        <v>0</v>
      </c>
      <c r="G55" s="380">
        <f>'G1'!G55+'G2'!G55+'G3'!G55+'G4'!G55</f>
        <v>0</v>
      </c>
      <c r="H55" s="403">
        <f t="shared" si="0"/>
        <v>0</v>
      </c>
      <c r="I55" s="418">
        <f>IF($Q$1&gt;0,TGsh!E53*$M$4%+TGsh!F53*(1-$M$4%),0)</f>
        <v>0</v>
      </c>
      <c r="J55" s="308">
        <f t="shared" si="43"/>
        <v>0</v>
      </c>
      <c r="K55" s="294" t="str">
        <f>$K$6</f>
        <v>Item</v>
      </c>
      <c r="L55" s="295" t="str">
        <f>$L$6</f>
        <v>#</v>
      </c>
      <c r="M55" s="295" t="str">
        <f>$M$6</f>
        <v>Real %</v>
      </c>
      <c r="N55" s="296" t="str">
        <f t="shared" ref="N55" si="61">$N$6</f>
        <v>Guia %</v>
      </c>
      <c r="O55" s="309">
        <f>'G1'!O55+'G2'!O55+'G3'!O55+'G4'!O55</f>
        <v>0</v>
      </c>
      <c r="P55" s="37">
        <f>IF('G1'!$P$5="Bulto X 40 K",'G1'!P55,'G1'!P55/40)+IF('G2'!$P$5="Bulto X 40 K",'G2'!P55,'G2'!P55/40)+IF('G3'!$P$5="Bulto X 40 K",'G3'!P55,'G3'!P55/40)+IF('G4'!$P$5="Bulto X 40 K",'G4'!P55,'G4'!P55/40)</f>
        <v>0</v>
      </c>
      <c r="Q55" s="37">
        <f>'G1'!Q55+'G2'!Q55+'G3'!Q55+'G4'!Q55</f>
        <v>0</v>
      </c>
      <c r="R55" s="314">
        <f t="shared" si="45"/>
        <v>0</v>
      </c>
      <c r="S55" s="325">
        <f>'G1'!S55+'G2'!S55+'G3'!S55+'G4'!S55</f>
        <v>0</v>
      </c>
      <c r="T55" s="326">
        <f>IF('G1'!$T$5="Bulto X 40 K",'G1'!T55,'G1'!T55/40)+IF('G2'!$T$5="Bulto X 40 K",'G2'!T55,'G2'!T55/40)+IF('G3'!$T$5="Bulto X 40 K",'G3'!T55,'G3'!T55/40)+IF('G4'!$T$5="Bulto X 40 K",'G4'!T55,'G4'!T55/40)</f>
        <v>0</v>
      </c>
      <c r="U55" s="326">
        <f>'G1'!U55+'G2'!U55+'G3'!U55+'G4'!U55</f>
        <v>0</v>
      </c>
      <c r="V55" s="34">
        <f t="shared" si="10"/>
        <v>0</v>
      </c>
      <c r="W55" s="309">
        <f>'G1'!W55+'G2'!W55+'G3'!W55+'G4'!W55</f>
        <v>0</v>
      </c>
      <c r="X55" s="37">
        <f>IF('G1'!$X$5="Bulto X 40 K",'G1'!X55,'G1'!X55/40)+IF('G2'!$X$5="Bulto X 40 K",'G2'!X55,'G2'!X55/40)+IF('G3'!$X$5="Bulto X 40 K",'G3'!X55,'G3'!X55/40)+IF('G4'!$X$5="Bulto X 40 K",'G4'!X55,'G4'!X55/40)</f>
        <v>0</v>
      </c>
      <c r="Y55" s="37">
        <f>'G1'!Y55+'G2'!Y55+'G3'!Y55+'G4'!Y55</f>
        <v>0</v>
      </c>
      <c r="Z55" s="34">
        <f t="shared" si="11"/>
        <v>0</v>
      </c>
      <c r="AA55" s="364">
        <f t="shared" si="14"/>
        <v>0</v>
      </c>
      <c r="AB55" s="365">
        <f t="shared" si="35"/>
        <v>0</v>
      </c>
      <c r="AC55" s="366">
        <f t="shared" si="46"/>
        <v>0</v>
      </c>
      <c r="AD55" s="325">
        <f t="shared" si="36"/>
        <v>0</v>
      </c>
      <c r="AE55" s="326">
        <f t="shared" si="47"/>
        <v>0</v>
      </c>
      <c r="AF55" s="349">
        <f t="shared" si="37"/>
        <v>0</v>
      </c>
      <c r="AG55" s="28">
        <f t="shared" si="38"/>
        <v>0</v>
      </c>
      <c r="AH55" s="46">
        <f>IF($M$3&gt;0,TGsh!C53*$M$4%+TGsh!D53*(1-$M$4%),0)</f>
        <v>0</v>
      </c>
      <c r="AI55" s="347" t="str">
        <f>$AI$6</f>
        <v>Gr. Obten.</v>
      </c>
      <c r="AJ55" s="335" t="str">
        <f>$AJ$6</f>
        <v>Cons Sem</v>
      </c>
      <c r="AK55" s="3">
        <f>IF((J61+SUM(F55:F61))&gt;0,SUM(AD55:AD61)*40000/(J61+SUM(F55:F61)),0)</f>
        <v>0</v>
      </c>
      <c r="AL55" s="41">
        <f>SUMIF($AD55:$AD61,"&gt;0",AH55:AH61)</f>
        <v>0</v>
      </c>
      <c r="AM55" s="336" t="str">
        <f>IF(AK55&gt;0,(AK55-AL55)/AL55*100,"")</f>
        <v/>
      </c>
      <c r="AN55" s="50"/>
      <c r="AO55" s="142">
        <f t="shared" ref="AO55:AO60" si="62">AO54+1</f>
        <v>3</v>
      </c>
      <c r="AP55" s="144">
        <f>AI26</f>
        <v>0</v>
      </c>
      <c r="AQ55" s="144">
        <f>IF($AC$1&gt;0,AL22/1000*J26/$AC$1,0)</f>
        <v>0</v>
      </c>
      <c r="AR55" s="142" t="str">
        <f t="shared" si="60"/>
        <v/>
      </c>
      <c r="AS55" s="428">
        <f t="shared" si="39"/>
        <v>0</v>
      </c>
      <c r="AT55" s="428">
        <f t="shared" si="40"/>
        <v>0</v>
      </c>
      <c r="AU55" s="428">
        <f t="shared" si="41"/>
        <v>0</v>
      </c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</row>
    <row r="56" spans="1:58" ht="16.5" thickBot="1" x14ac:dyDescent="0.3">
      <c r="A56" s="929"/>
      <c r="B56" s="53" t="str">
        <f t="shared" si="5"/>
        <v/>
      </c>
      <c r="C56" s="375">
        <f t="shared" si="42"/>
        <v>51</v>
      </c>
      <c r="D56" s="383">
        <f>'G1'!D56+'G2'!D56+'G3'!D56+'G4'!D56</f>
        <v>0</v>
      </c>
      <c r="E56" s="384">
        <f>'G1'!E56+'G2'!E56+'G3'!E56+'G4'!E56</f>
        <v>0</v>
      </c>
      <c r="F56" s="385">
        <f>'G1'!F56+'G2'!F56+'G3'!F56+'G4'!F56</f>
        <v>0</v>
      </c>
      <c r="G56" s="383">
        <f>'G1'!G56+'G2'!G56+'G3'!G56+'G4'!G56</f>
        <v>0</v>
      </c>
      <c r="H56" s="404">
        <f t="shared" si="0"/>
        <v>0</v>
      </c>
      <c r="I56" s="421">
        <f>IF($Q$1&gt;0,TGsh!E54*$M$4%+TGsh!F54*(1-$M$4%),0)</f>
        <v>0</v>
      </c>
      <c r="J56" s="302">
        <f t="shared" si="43"/>
        <v>0</v>
      </c>
      <c r="K56" s="297" t="str">
        <f>$K$7</f>
        <v xml:space="preserve">Mort Sem </v>
      </c>
      <c r="L56" s="289">
        <f>SUM(D55:D61)</f>
        <v>0</v>
      </c>
      <c r="M56" s="280">
        <f>IF(J54&gt;0,L56/J54,0)</f>
        <v>0</v>
      </c>
      <c r="N56" s="281">
        <f ca="1">SUM(TGsh!G53:G59)</f>
        <v>0</v>
      </c>
      <c r="O56" s="310">
        <f>'G1'!O56+'G2'!O56+'G3'!O56+'G4'!O56</f>
        <v>0</v>
      </c>
      <c r="P56" s="38">
        <f>IF('G1'!$P$5="Bulto X 40 K",'G1'!P56,'G1'!P56/40)+IF('G2'!$P$5="Bulto X 40 K",'G2'!P56,'G2'!P56/40)+IF('G3'!$P$5="Bulto X 40 K",'G3'!P56,'G3'!P56/40)+IF('G4'!$P$5="Bulto X 40 K",'G4'!P56,'G4'!P56/40)</f>
        <v>0</v>
      </c>
      <c r="Q56" s="38">
        <f>'G1'!Q56+'G2'!Q56+'G3'!Q56+'G4'!Q56</f>
        <v>0</v>
      </c>
      <c r="R56" s="315">
        <f t="shared" si="45"/>
        <v>0</v>
      </c>
      <c r="S56" s="327">
        <f>'G1'!S56+'G2'!S56+'G3'!S56+'G4'!S56</f>
        <v>0</v>
      </c>
      <c r="T56" s="328">
        <f>IF('G1'!$T$5="Bulto X 40 K",'G1'!T56,'G1'!T56/40)+IF('G2'!$T$5="Bulto X 40 K",'G2'!T56,'G2'!T56/40)+IF('G3'!$T$5="Bulto X 40 K",'G3'!T56,'G3'!T56/40)+IF('G4'!$T$5="Bulto X 40 K",'G4'!T56,'G4'!T56/40)</f>
        <v>0</v>
      </c>
      <c r="U56" s="328">
        <f>'G1'!U56+'G2'!U56+'G3'!U56+'G4'!U56</f>
        <v>0</v>
      </c>
      <c r="V56" s="35">
        <f t="shared" si="10"/>
        <v>0</v>
      </c>
      <c r="W56" s="310">
        <f>'G1'!W56+'G2'!W56+'G3'!W56+'G4'!W56</f>
        <v>0</v>
      </c>
      <c r="X56" s="38">
        <f>IF('G1'!$X$5="Bulto X 40 K",'G1'!X56,'G1'!X56/40)+IF('G2'!$X$5="Bulto X 40 K",'G2'!X56,'G2'!X56/40)+IF('G3'!$X$5="Bulto X 40 K",'G3'!X56,'G3'!X56/40)+IF('G4'!$X$5="Bulto X 40 K",'G4'!X56,'G4'!X56/40)</f>
        <v>0</v>
      </c>
      <c r="Y56" s="38">
        <f>'G1'!Y56+'G2'!Y56+'G3'!Y56+'G4'!Y56</f>
        <v>0</v>
      </c>
      <c r="Z56" s="35">
        <f t="shared" si="11"/>
        <v>0</v>
      </c>
      <c r="AA56" s="367">
        <f t="shared" si="14"/>
        <v>0</v>
      </c>
      <c r="AB56" s="368">
        <f t="shared" si="35"/>
        <v>0</v>
      </c>
      <c r="AC56" s="369">
        <f t="shared" si="46"/>
        <v>0</v>
      </c>
      <c r="AD56" s="327">
        <f t="shared" si="36"/>
        <v>0</v>
      </c>
      <c r="AE56" s="328">
        <f t="shared" si="47"/>
        <v>0</v>
      </c>
      <c r="AF56" s="350">
        <f t="shared" si="37"/>
        <v>0</v>
      </c>
      <c r="AG56" s="29">
        <f t="shared" si="38"/>
        <v>0</v>
      </c>
      <c r="AH56" s="47">
        <f>IF($M$3&gt;0,TGsh!C54*$M$4%+TGsh!D54*(1-$M$4%),0)</f>
        <v>0</v>
      </c>
      <c r="AI56" s="337">
        <f>IF(SUM(AD55:AD61)&gt;0,AVERAGEIF(AD55:AD61,"&gt;0",AG55:AG61),0)</f>
        <v>0</v>
      </c>
      <c r="AJ56" s="338" t="str">
        <f>$AJ$7</f>
        <v>Cons Acum</v>
      </c>
      <c r="AK56" s="339">
        <f>IF((J61+SUM(F$6:F61))&gt;0,SUM(AD$6:AD61)*40000/(J61+SUM(F$6:F61)),0)</f>
        <v>0</v>
      </c>
      <c r="AL56" s="340">
        <f>AL49+AL55</f>
        <v>0</v>
      </c>
      <c r="AM56" s="341" t="str">
        <f>IF(AK55&gt;0,(AK56-AL56)/AL56*100,"")</f>
        <v/>
      </c>
      <c r="AN56" s="50"/>
      <c r="AO56" s="142">
        <f t="shared" si="62"/>
        <v>4</v>
      </c>
      <c r="AP56" s="144">
        <f>AI33</f>
        <v>0</v>
      </c>
      <c r="AQ56" s="144">
        <f>IF($AC$1&gt;0,AL29/1000*J33/$AC$1,0)</f>
        <v>0</v>
      </c>
      <c r="AR56" s="142" t="str">
        <f t="shared" si="60"/>
        <v/>
      </c>
      <c r="AS56" s="428">
        <f t="shared" si="39"/>
        <v>0</v>
      </c>
      <c r="AT56" s="428">
        <f t="shared" si="40"/>
        <v>0</v>
      </c>
      <c r="AU56" s="428">
        <f t="shared" si="41"/>
        <v>0</v>
      </c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</row>
    <row r="57" spans="1:58" ht="16.5" thickBot="1" x14ac:dyDescent="0.3">
      <c r="A57" s="929"/>
      <c r="B57" s="53" t="str">
        <f t="shared" si="5"/>
        <v/>
      </c>
      <c r="C57" s="375">
        <f t="shared" si="42"/>
        <v>52</v>
      </c>
      <c r="D57" s="383">
        <f>'G1'!D57+'G2'!D57+'G3'!D57+'G4'!D57</f>
        <v>0</v>
      </c>
      <c r="E57" s="384">
        <f>'G1'!E57+'G2'!E57+'G3'!E57+'G4'!E57</f>
        <v>0</v>
      </c>
      <c r="F57" s="385">
        <f>'G1'!F57+'G2'!F57+'G3'!F57+'G4'!F57</f>
        <v>0</v>
      </c>
      <c r="G57" s="383">
        <f>'G1'!G57+'G2'!G57+'G3'!G57+'G4'!G57</f>
        <v>0</v>
      </c>
      <c r="H57" s="404">
        <f t="shared" si="0"/>
        <v>0</v>
      </c>
      <c r="I57" s="421">
        <f>IF($Q$1&gt;0,TGsh!E55*$M$4%+TGsh!F55*(1-$M$4%),0)</f>
        <v>0</v>
      </c>
      <c r="J57" s="302">
        <f t="shared" si="43"/>
        <v>0</v>
      </c>
      <c r="K57" s="298" t="str">
        <f>$K$8</f>
        <v xml:space="preserve">Sel Sem </v>
      </c>
      <c r="L57" s="290">
        <f>SUM(E55:E61)</f>
        <v>0</v>
      </c>
      <c r="M57" s="282">
        <f>IF(J54&gt;0,L57/J54,0)</f>
        <v>0</v>
      </c>
      <c r="N57" s="283">
        <f>IF(J54&gt;0,(('G1'!N57*'G1'!J54)+('G2'!N57*'G2'!J54))/J54,0)</f>
        <v>0</v>
      </c>
      <c r="O57" s="310">
        <f>'G1'!O57+'G2'!O57+'G3'!O57+'G4'!O57</f>
        <v>0</v>
      </c>
      <c r="P57" s="38">
        <f>IF('G1'!$P$5="Bulto X 40 K",'G1'!P57,'G1'!P57/40)+IF('G2'!$P$5="Bulto X 40 K",'G2'!P57,'G2'!P57/40)+IF('G3'!$P$5="Bulto X 40 K",'G3'!P57,'G3'!P57/40)+IF('G4'!$P$5="Bulto X 40 K",'G4'!P57,'G4'!P57/40)</f>
        <v>0</v>
      </c>
      <c r="Q57" s="38">
        <f>'G1'!Q57+'G2'!Q57+'G3'!Q57+'G4'!Q57</f>
        <v>0</v>
      </c>
      <c r="R57" s="315">
        <f t="shared" si="45"/>
        <v>0</v>
      </c>
      <c r="S57" s="327">
        <f>'G1'!S57+'G2'!S57+'G3'!S57+'G4'!S57</f>
        <v>0</v>
      </c>
      <c r="T57" s="328">
        <f>IF('G1'!$T$5="Bulto X 40 K",'G1'!T57,'G1'!T57/40)+IF('G2'!$T$5="Bulto X 40 K",'G2'!T57,'G2'!T57/40)+IF('G3'!$T$5="Bulto X 40 K",'G3'!T57,'G3'!T57/40)+IF('G4'!$T$5="Bulto X 40 K",'G4'!T57,'G4'!T57/40)</f>
        <v>0</v>
      </c>
      <c r="U57" s="328">
        <f>'G1'!U57+'G2'!U57+'G3'!U57+'G4'!U57</f>
        <v>0</v>
      </c>
      <c r="V57" s="35">
        <f t="shared" si="10"/>
        <v>0</v>
      </c>
      <c r="W57" s="310">
        <f>'G1'!W57+'G2'!W57+'G3'!W57+'G4'!W57</f>
        <v>0</v>
      </c>
      <c r="X57" s="38">
        <f>IF('G1'!$X$5="Bulto X 40 K",'G1'!X57,'G1'!X57/40)+IF('G2'!$X$5="Bulto X 40 K",'G2'!X57,'G2'!X57/40)+IF('G3'!$X$5="Bulto X 40 K",'G3'!X57,'G3'!X57/40)+IF('G4'!$X$5="Bulto X 40 K",'G4'!X57,'G4'!X57/40)</f>
        <v>0</v>
      </c>
      <c r="Y57" s="38">
        <f>'G1'!Y57+'G2'!Y57+'G3'!Y57+'G4'!Y57</f>
        <v>0</v>
      </c>
      <c r="Z57" s="35">
        <f t="shared" si="11"/>
        <v>0</v>
      </c>
      <c r="AA57" s="367">
        <f t="shared" si="14"/>
        <v>0</v>
      </c>
      <c r="AB57" s="368">
        <f t="shared" si="35"/>
        <v>0</v>
      </c>
      <c r="AC57" s="369">
        <f t="shared" si="46"/>
        <v>0</v>
      </c>
      <c r="AD57" s="327">
        <f t="shared" si="36"/>
        <v>0</v>
      </c>
      <c r="AE57" s="328">
        <f t="shared" si="47"/>
        <v>0</v>
      </c>
      <c r="AF57" s="350">
        <f t="shared" si="37"/>
        <v>0</v>
      </c>
      <c r="AG57" s="29">
        <f t="shared" si="38"/>
        <v>0</v>
      </c>
      <c r="AH57" s="47">
        <f>IF($M$3&gt;0,TGsh!C55*$M$4%+TGsh!D55*(1-$M$4%),0)</f>
        <v>0</v>
      </c>
      <c r="AI57" s="40" t="str">
        <f>$AI$8</f>
        <v>Gr. Guía</v>
      </c>
      <c r="AJ57" s="4" t="str">
        <f>$AJ$8</f>
        <v>Peso Sem</v>
      </c>
      <c r="AK57" s="39">
        <f>IF(SUM(F55:F61)&gt;0,SUMPRODUCT(F55:F61,H55:H61)/SUM(F55:F61),IF((IF('G2'!AK57&gt;0,'G2'!J61,0)+IF('G1'!AK57&gt;0,'G1'!J61,0)+IF('G3'!AK57&gt;0,'G3'!J61,0)+IF('G4'!AK57&gt;0,'G4'!J61,0))&gt;0,(('G1'!AK57*'G1'!J61)+('G2'!AK57*'G2'!J61)+('G3'!AK57*'G3'!J61)+('G4'!AK57*'G4'!J61))/(IF('G2'!AK57&gt;0,'G2'!J61,0)+IF('G1'!AK57&gt;0,'G1'!J61,0)+IF('G3'!AK57&gt;0,'G3'!J61,0)+IF('G4'!AK57&gt;0,'G4'!J61,0)),0))</f>
        <v>0</v>
      </c>
      <c r="AL57" s="42">
        <f>IF($Q$1&gt;0,I61,0)</f>
        <v>0</v>
      </c>
      <c r="AM57" s="9" t="str">
        <f>IF(AK57&gt;0,(AK57-AL57)/AL57*100,"")</f>
        <v/>
      </c>
      <c r="AN57" s="50"/>
      <c r="AO57" s="142">
        <f t="shared" si="62"/>
        <v>5</v>
      </c>
      <c r="AP57" s="144">
        <f>AI40</f>
        <v>0</v>
      </c>
      <c r="AQ57" s="144">
        <f>IF($AC$1&gt;0,AL36/1000*J40/$AC$1,0)</f>
        <v>0</v>
      </c>
      <c r="AR57" s="142" t="str">
        <f t="shared" si="60"/>
        <v/>
      </c>
      <c r="AS57" s="428">
        <f t="shared" si="39"/>
        <v>0</v>
      </c>
      <c r="AT57" s="428">
        <f t="shared" si="40"/>
        <v>0</v>
      </c>
      <c r="AU57" s="428">
        <f t="shared" si="41"/>
        <v>0</v>
      </c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</row>
    <row r="58" spans="1:58" ht="15.75" x14ac:dyDescent="0.25">
      <c r="A58" s="929"/>
      <c r="B58" s="53" t="str">
        <f t="shared" si="5"/>
        <v/>
      </c>
      <c r="C58" s="375">
        <f t="shared" si="42"/>
        <v>53</v>
      </c>
      <c r="D58" s="383">
        <f>'G1'!D58+'G2'!D58+'G3'!D58+'G4'!D58</f>
        <v>0</v>
      </c>
      <c r="E58" s="384">
        <f>'G1'!E58+'G2'!E58+'G3'!E58+'G4'!E58</f>
        <v>0</v>
      </c>
      <c r="F58" s="385">
        <f>'G1'!F58+'G2'!F58+'G3'!F58+'G4'!F58</f>
        <v>0</v>
      </c>
      <c r="G58" s="383">
        <f>'G1'!G58+'G2'!G58+'G3'!G58+'G4'!G58</f>
        <v>0</v>
      </c>
      <c r="H58" s="404">
        <f t="shared" si="0"/>
        <v>0</v>
      </c>
      <c r="I58" s="421">
        <f>IF($Q$1&gt;0,TGsh!E56*$M$4%+TGsh!F56*(1-$M$4%),0)</f>
        <v>0</v>
      </c>
      <c r="J58" s="302">
        <f t="shared" si="43"/>
        <v>0</v>
      </c>
      <c r="K58" s="299" t="str">
        <f>$K$9</f>
        <v xml:space="preserve">Mort + Sel Sem </v>
      </c>
      <c r="L58" s="291">
        <f>SUM(L56:L57)</f>
        <v>0</v>
      </c>
      <c r="M58" s="284">
        <f>IF(J54&gt;0,L58/J54,0)</f>
        <v>0</v>
      </c>
      <c r="N58" s="285">
        <f t="shared" ref="N58" ca="1" si="63">SUM(N56:N57)</f>
        <v>0</v>
      </c>
      <c r="O58" s="310">
        <f>'G1'!O58+'G2'!O58+'G3'!O58+'G4'!O58</f>
        <v>0</v>
      </c>
      <c r="P58" s="38">
        <f>IF('G1'!$P$5="Bulto X 40 K",'G1'!P58,'G1'!P58/40)+IF('G2'!$P$5="Bulto X 40 K",'G2'!P58,'G2'!P58/40)+IF('G3'!$P$5="Bulto X 40 K",'G3'!P58,'G3'!P58/40)+IF('G4'!$P$5="Bulto X 40 K",'G4'!P58,'G4'!P58/40)</f>
        <v>0</v>
      </c>
      <c r="Q58" s="38">
        <f>'G1'!Q58+'G2'!Q58+'G3'!Q58+'G4'!Q58</f>
        <v>0</v>
      </c>
      <c r="R58" s="315">
        <f t="shared" si="45"/>
        <v>0</v>
      </c>
      <c r="S58" s="327">
        <f>'G1'!S58+'G2'!S58+'G3'!S58+'G4'!S58</f>
        <v>0</v>
      </c>
      <c r="T58" s="328">
        <f>IF('G1'!$T$5="Bulto X 40 K",'G1'!T58,'G1'!T58/40)+IF('G2'!$T$5="Bulto X 40 K",'G2'!T58,'G2'!T58/40)+IF('G3'!$T$5="Bulto X 40 K",'G3'!T58,'G3'!T58/40)+IF('G4'!$T$5="Bulto X 40 K",'G4'!T58,'G4'!T58/40)</f>
        <v>0</v>
      </c>
      <c r="U58" s="328">
        <f>'G1'!U58+'G2'!U58+'G3'!U58+'G4'!U58</f>
        <v>0</v>
      </c>
      <c r="V58" s="35">
        <f t="shared" si="10"/>
        <v>0</v>
      </c>
      <c r="W58" s="310">
        <f>'G1'!W58+'G2'!W58+'G3'!W58+'G4'!W58</f>
        <v>0</v>
      </c>
      <c r="X58" s="38">
        <f>IF('G1'!$X$5="Bulto X 40 K",'G1'!X58,'G1'!X58/40)+IF('G2'!$X$5="Bulto X 40 K",'G2'!X58,'G2'!X58/40)+IF('G3'!$X$5="Bulto X 40 K",'G3'!X58,'G3'!X58/40)+IF('G4'!$X$5="Bulto X 40 K",'G4'!X58,'G4'!X58/40)</f>
        <v>0</v>
      </c>
      <c r="Y58" s="38">
        <f>'G1'!Y58+'G2'!Y58+'G3'!Y58+'G4'!Y58</f>
        <v>0</v>
      </c>
      <c r="Z58" s="35">
        <f t="shared" si="11"/>
        <v>0</v>
      </c>
      <c r="AA58" s="367">
        <f t="shared" si="14"/>
        <v>0</v>
      </c>
      <c r="AB58" s="368">
        <f t="shared" si="35"/>
        <v>0</v>
      </c>
      <c r="AC58" s="369">
        <f t="shared" si="46"/>
        <v>0</v>
      </c>
      <c r="AD58" s="327">
        <f t="shared" si="36"/>
        <v>0</v>
      </c>
      <c r="AE58" s="328">
        <f t="shared" si="47"/>
        <v>0</v>
      </c>
      <c r="AF58" s="350">
        <f t="shared" si="37"/>
        <v>0</v>
      </c>
      <c r="AG58" s="29">
        <f t="shared" si="38"/>
        <v>0</v>
      </c>
      <c r="AH58" s="47">
        <f>IF($M$3&gt;0,TGsh!C56*$M$4%+TGsh!D56*(1-$M$4%),0)</f>
        <v>0</v>
      </c>
      <c r="AI58" s="337">
        <f>IF(SUM(AD55:AD61)&gt;0,AVERAGEIF(AD55:AD61,"&gt;0",AH55:AH61),0)</f>
        <v>0</v>
      </c>
      <c r="AJ58" s="5" t="str">
        <f t="shared" ref="AJ58" si="64">AJ51</f>
        <v>Gan Dia</v>
      </c>
      <c r="AK58" s="6">
        <f>IF(AND(AK50&gt;0,AK57&gt;0),(AK57-AK50)/(COUNTIF(AD55:AD61,"&gt;0")),0)</f>
        <v>0</v>
      </c>
      <c r="AL58" s="43">
        <f>IF(AND(AL50&gt;0,AL57&gt;0,COUNTIF(AD55:AD61,"&gt;0")),(AL57-AL50)/COUNTIF(AD55:AD61,"&gt;0"),0)</f>
        <v>0</v>
      </c>
      <c r="AM58" s="10" t="str">
        <f>IF(AK58&gt;0,(AK58-AL58)/AL58*100,"")</f>
        <v/>
      </c>
      <c r="AN58" s="354"/>
      <c r="AO58" s="142">
        <f t="shared" si="62"/>
        <v>6</v>
      </c>
      <c r="AP58" s="144">
        <f>AI47</f>
        <v>0</v>
      </c>
      <c r="AQ58" s="144">
        <f>IF($AC$1&gt;0,AL43/1000*J47/$AC$1,0)</f>
        <v>0</v>
      </c>
      <c r="AR58" s="142" t="str">
        <f>IF(AP58&gt;0,(AP58-AQ58)/AQ58*100,"")</f>
        <v/>
      </c>
      <c r="AS58" s="428">
        <f t="shared" si="39"/>
        <v>0</v>
      </c>
      <c r="AT58" s="428">
        <f t="shared" si="40"/>
        <v>0</v>
      </c>
      <c r="AU58" s="428">
        <f t="shared" si="41"/>
        <v>0</v>
      </c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</row>
    <row r="59" spans="1:58" ht="15.75" customHeight="1" x14ac:dyDescent="0.25">
      <c r="A59" s="929"/>
      <c r="B59" s="53" t="str">
        <f t="shared" si="5"/>
        <v/>
      </c>
      <c r="C59" s="375">
        <f t="shared" si="42"/>
        <v>54</v>
      </c>
      <c r="D59" s="383">
        <f>'G1'!D59+'G2'!D59+'G3'!D59+'G4'!D59</f>
        <v>0</v>
      </c>
      <c r="E59" s="384">
        <f>'G1'!E59+'G2'!E59+'G3'!E59+'G4'!E59</f>
        <v>0</v>
      </c>
      <c r="F59" s="385">
        <f>'G1'!F59+'G2'!F59+'G3'!F59+'G4'!F59</f>
        <v>0</v>
      </c>
      <c r="G59" s="383">
        <f>'G1'!G59+'G2'!G59+'G3'!G59+'G4'!G59</f>
        <v>0</v>
      </c>
      <c r="H59" s="404">
        <f t="shared" si="0"/>
        <v>0</v>
      </c>
      <c r="I59" s="421">
        <f>IF($Q$1&gt;0,TGsh!E57*$M$4%+TGsh!F57*(1-$M$4%),0)</f>
        <v>0</v>
      </c>
      <c r="J59" s="302">
        <f t="shared" si="43"/>
        <v>0</v>
      </c>
      <c r="K59" s="300" t="str">
        <f>$K$10</f>
        <v xml:space="preserve">Mort Acum </v>
      </c>
      <c r="L59" s="292">
        <f>L56+L52</f>
        <v>0</v>
      </c>
      <c r="M59" s="286">
        <f>IF($M$3&gt;0,L59/$M$3,0)</f>
        <v>0</v>
      </c>
      <c r="N59" s="255">
        <f ca="1">TGsh!H59</f>
        <v>0</v>
      </c>
      <c r="O59" s="310">
        <f>'G1'!O59+'G2'!O59+'G3'!O59+'G4'!O59</f>
        <v>0</v>
      </c>
      <c r="P59" s="38">
        <f>IF('G1'!$P$5="Bulto X 40 K",'G1'!P59,'G1'!P59/40)+IF('G2'!$P$5="Bulto X 40 K",'G2'!P59,'G2'!P59/40)+IF('G3'!$P$5="Bulto X 40 K",'G3'!P59,'G3'!P59/40)+IF('G4'!$P$5="Bulto X 40 K",'G4'!P59,'G4'!P59/40)</f>
        <v>0</v>
      </c>
      <c r="Q59" s="38">
        <f>'G1'!Q59+'G2'!Q59+'G3'!Q59+'G4'!Q59</f>
        <v>0</v>
      </c>
      <c r="R59" s="315">
        <f t="shared" si="45"/>
        <v>0</v>
      </c>
      <c r="S59" s="327">
        <f>'G1'!S59+'G2'!S59+'G3'!S59+'G4'!S59</f>
        <v>0</v>
      </c>
      <c r="T59" s="328">
        <f>IF('G1'!$T$5="Bulto X 40 K",'G1'!T59,'G1'!T59/40)+IF('G2'!$T$5="Bulto X 40 K",'G2'!T59,'G2'!T59/40)+IF('G3'!$T$5="Bulto X 40 K",'G3'!T59,'G3'!T59/40)+IF('G4'!$T$5="Bulto X 40 K",'G4'!T59,'G4'!T59/40)</f>
        <v>0</v>
      </c>
      <c r="U59" s="328">
        <f>'G1'!U59+'G2'!U59+'G3'!U59+'G4'!U59</f>
        <v>0</v>
      </c>
      <c r="V59" s="35">
        <f t="shared" si="10"/>
        <v>0</v>
      </c>
      <c r="W59" s="310">
        <f>'G1'!W59+'G2'!W59+'G3'!W59+'G4'!W59</f>
        <v>0</v>
      </c>
      <c r="X59" s="38">
        <f>IF('G1'!$X$5="Bulto X 40 K",'G1'!X59,'G1'!X59/40)+IF('G2'!$X$5="Bulto X 40 K",'G2'!X59,'G2'!X59/40)+IF('G3'!$X$5="Bulto X 40 K",'G3'!X59,'G3'!X59/40)+IF('G4'!$X$5="Bulto X 40 K",'G4'!X59,'G4'!X59/40)</f>
        <v>0</v>
      </c>
      <c r="Y59" s="38">
        <f>'G1'!Y59+'G2'!Y59+'G3'!Y59+'G4'!Y59</f>
        <v>0</v>
      </c>
      <c r="Z59" s="35">
        <f t="shared" si="11"/>
        <v>0</v>
      </c>
      <c r="AA59" s="367">
        <f t="shared" si="14"/>
        <v>0</v>
      </c>
      <c r="AB59" s="368">
        <f t="shared" si="35"/>
        <v>0</v>
      </c>
      <c r="AC59" s="369">
        <f t="shared" si="46"/>
        <v>0</v>
      </c>
      <c r="AD59" s="327">
        <f t="shared" si="36"/>
        <v>0</v>
      </c>
      <c r="AE59" s="328">
        <f t="shared" si="47"/>
        <v>0</v>
      </c>
      <c r="AF59" s="350">
        <f t="shared" si="37"/>
        <v>0</v>
      </c>
      <c r="AG59" s="29">
        <f t="shared" si="38"/>
        <v>0</v>
      </c>
      <c r="AH59" s="47">
        <f>IF($M$3&gt;0,TGsh!C57*$M$4%+TGsh!D57*(1-$M$4%),0)</f>
        <v>0</v>
      </c>
      <c r="AI59" s="891" t="s">
        <v>46</v>
      </c>
      <c r="AJ59" s="7" t="str">
        <f>$AJ$10</f>
        <v>Conversión</v>
      </c>
      <c r="AK59" s="13">
        <f>IF(AK57&gt;0,AK56/AK57,0)</f>
        <v>0</v>
      </c>
      <c r="AL59" s="44">
        <f>IF(AL57&gt;0,AL56/AL57,0)</f>
        <v>0</v>
      </c>
      <c r="AM59" s="11" t="str">
        <f>IF(AK57&gt;0,-(AK59-AL59)/AL59*100,"")</f>
        <v/>
      </c>
      <c r="AN59" s="50"/>
      <c r="AO59" s="142">
        <f t="shared" si="62"/>
        <v>7</v>
      </c>
      <c r="AP59" s="144">
        <f>AI54</f>
        <v>0</v>
      </c>
      <c r="AQ59" s="144">
        <f>IF($AC$1&gt;0,AL50/1000*J54/$AC$1,0)</f>
        <v>0</v>
      </c>
      <c r="AR59" s="142" t="str">
        <f>IF(AP59&gt;0,(AP59-AQ59)/AQ59*100,"")</f>
        <v/>
      </c>
      <c r="AS59" s="428">
        <f t="shared" si="39"/>
        <v>0</v>
      </c>
      <c r="AT59" s="428">
        <f t="shared" si="40"/>
        <v>0</v>
      </c>
      <c r="AU59" s="428">
        <f t="shared" si="41"/>
        <v>0</v>
      </c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</row>
    <row r="60" spans="1:58" ht="15.75" x14ac:dyDescent="0.25">
      <c r="A60" s="929"/>
      <c r="B60" s="53" t="str">
        <f t="shared" si="5"/>
        <v/>
      </c>
      <c r="C60" s="375">
        <f t="shared" si="42"/>
        <v>55</v>
      </c>
      <c r="D60" s="383">
        <f>'G1'!D60+'G2'!D60+'G3'!D60+'G4'!D60</f>
        <v>0</v>
      </c>
      <c r="E60" s="384">
        <f>'G1'!E60+'G2'!E60+'G3'!E60+'G4'!E60</f>
        <v>0</v>
      </c>
      <c r="F60" s="385">
        <f>'G1'!F60+'G2'!F60+'G3'!F60+'G4'!F60</f>
        <v>0</v>
      </c>
      <c r="G60" s="410">
        <f>'G1'!G60+'G2'!G60+'G3'!G60+'G4'!G60</f>
        <v>0</v>
      </c>
      <c r="H60" s="405">
        <f t="shared" si="0"/>
        <v>0</v>
      </c>
      <c r="I60" s="420">
        <f>IF($Q$1&gt;0,TGsh!E58*$M$4%+TGsh!F58*(1-$M$4%),0)</f>
        <v>0</v>
      </c>
      <c r="J60" s="303">
        <f t="shared" si="43"/>
        <v>0</v>
      </c>
      <c r="K60" s="298" t="str">
        <f>$K$11</f>
        <v xml:space="preserve">Sel Acum </v>
      </c>
      <c r="L60" s="290">
        <f>L57+L53</f>
        <v>0</v>
      </c>
      <c r="M60" s="282">
        <f>IF($M$3&gt;0,L60/$M$3,0)</f>
        <v>0</v>
      </c>
      <c r="N60" s="283">
        <f t="shared" ref="N60" si="65">N57+N53</f>
        <v>0</v>
      </c>
      <c r="O60" s="310">
        <f>'G1'!O60+'G2'!O60+'G3'!O60+'G4'!O60</f>
        <v>0</v>
      </c>
      <c r="P60" s="38">
        <f>IF('G1'!$P$5="Bulto X 40 K",'G1'!P60,'G1'!P60/40)+IF('G2'!$P$5="Bulto X 40 K",'G2'!P60,'G2'!P60/40)+IF('G3'!$P$5="Bulto X 40 K",'G3'!P60,'G3'!P60/40)+IF('G4'!$P$5="Bulto X 40 K",'G4'!P60,'G4'!P60/40)</f>
        <v>0</v>
      </c>
      <c r="Q60" s="38">
        <f>'G1'!Q60+'G2'!Q60+'G3'!Q60+'G4'!Q60</f>
        <v>0</v>
      </c>
      <c r="R60" s="315">
        <f t="shared" si="45"/>
        <v>0</v>
      </c>
      <c r="S60" s="327">
        <f>'G1'!S60+'G2'!S60+'G3'!S60+'G4'!S60</f>
        <v>0</v>
      </c>
      <c r="T60" s="328">
        <f>IF('G1'!$T$5="Bulto X 40 K",'G1'!T60,'G1'!T60/40)+IF('G2'!$T$5="Bulto X 40 K",'G2'!T60,'G2'!T60/40)+IF('G3'!$T$5="Bulto X 40 K",'G3'!T60,'G3'!T60/40)+IF('G4'!$T$5="Bulto X 40 K",'G4'!T60,'G4'!T60/40)</f>
        <v>0</v>
      </c>
      <c r="U60" s="328">
        <f>'G1'!U60+'G2'!U60+'G3'!U60+'G4'!U60</f>
        <v>0</v>
      </c>
      <c r="V60" s="35">
        <f t="shared" si="10"/>
        <v>0</v>
      </c>
      <c r="W60" s="310">
        <f>'G1'!W60+'G2'!W60+'G3'!W60+'G4'!W60</f>
        <v>0</v>
      </c>
      <c r="X60" s="38">
        <f>IF('G1'!$X$5="Bulto X 40 K",'G1'!X60,'G1'!X60/40)+IF('G2'!$X$5="Bulto X 40 K",'G2'!X60,'G2'!X60/40)+IF('G3'!$X$5="Bulto X 40 K",'G3'!X60,'G3'!X60/40)+IF('G4'!$X$5="Bulto X 40 K",'G4'!X60,'G4'!X60/40)</f>
        <v>0</v>
      </c>
      <c r="Y60" s="38">
        <f>'G1'!Y60+'G2'!Y60+'G3'!Y60+'G4'!Y60</f>
        <v>0</v>
      </c>
      <c r="Z60" s="35">
        <f t="shared" si="11"/>
        <v>0</v>
      </c>
      <c r="AA60" s="367">
        <f t="shared" si="14"/>
        <v>0</v>
      </c>
      <c r="AB60" s="368">
        <f t="shared" si="35"/>
        <v>0</v>
      </c>
      <c r="AC60" s="369">
        <f t="shared" si="46"/>
        <v>0</v>
      </c>
      <c r="AD60" s="327">
        <f t="shared" si="36"/>
        <v>0</v>
      </c>
      <c r="AE60" s="328">
        <f t="shared" si="47"/>
        <v>0</v>
      </c>
      <c r="AF60" s="350">
        <f t="shared" si="37"/>
        <v>0</v>
      </c>
      <c r="AG60" s="29">
        <f t="shared" si="38"/>
        <v>0</v>
      </c>
      <c r="AH60" s="47">
        <f>IF($M$3&gt;0,TGsh!C58*$M$4%+TGsh!D58*(1-$M$4%),0)</f>
        <v>0</v>
      </c>
      <c r="AI60" s="892"/>
      <c r="AJ60" s="7" t="str">
        <f>$AJ$11</f>
        <v>Ef. Alim</v>
      </c>
      <c r="AK60" s="12">
        <f>IF(AK59&gt;0,AK57/AK59/10,0)</f>
        <v>0</v>
      </c>
      <c r="AL60" s="45">
        <f>IF(AL59&gt;0,AL57/AL59/10,0)</f>
        <v>0</v>
      </c>
      <c r="AM60" s="11" t="str">
        <f>IF(AK60&gt;0,(AK60-AL60)/AL60*100,"")</f>
        <v/>
      </c>
      <c r="AN60" s="50"/>
      <c r="AO60" s="142">
        <f t="shared" si="62"/>
        <v>8</v>
      </c>
      <c r="AP60" s="144">
        <f>AI61</f>
        <v>0</v>
      </c>
      <c r="AQ60" s="144">
        <f>IF($AC$1&gt;0,AL57/1000*J61/$AC$1,0)</f>
        <v>0</v>
      </c>
      <c r="AR60" s="142" t="str">
        <f t="shared" si="60"/>
        <v/>
      </c>
      <c r="AS60" s="428">
        <f t="shared" si="39"/>
        <v>0</v>
      </c>
      <c r="AT60" s="428">
        <f t="shared" si="40"/>
        <v>0</v>
      </c>
      <c r="AU60" s="428">
        <f t="shared" si="41"/>
        <v>0</v>
      </c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</row>
    <row r="61" spans="1:58" ht="16.5" thickBot="1" x14ac:dyDescent="0.3">
      <c r="A61" s="930"/>
      <c r="B61" s="54" t="str">
        <f t="shared" si="5"/>
        <v/>
      </c>
      <c r="C61" s="408">
        <f t="shared" si="42"/>
        <v>56</v>
      </c>
      <c r="D61" s="410">
        <f>'G1'!D61+'G2'!D61+'G3'!D61+'G4'!D61</f>
        <v>0</v>
      </c>
      <c r="E61" s="386">
        <f>'G1'!E61+'G2'!E61+'G3'!E61+'G4'!E61</f>
        <v>0</v>
      </c>
      <c r="F61" s="387">
        <f>'G1'!F61+'G2'!F61+'G3'!F61+'G4'!F61</f>
        <v>0</v>
      </c>
      <c r="G61" s="410">
        <f>'G1'!G61+'G2'!G61+'G3'!G61+'G4'!G61</f>
        <v>0</v>
      </c>
      <c r="H61" s="405">
        <f t="shared" si="0"/>
        <v>0</v>
      </c>
      <c r="I61" s="419">
        <f>IF($Q$1&gt;0,TGsh!E59*$M$4%+TGsh!F59*(1-$M$4%),0)</f>
        <v>0</v>
      </c>
      <c r="J61" s="304">
        <f t="shared" si="43"/>
        <v>0</v>
      </c>
      <c r="K61" s="301" t="str">
        <f>$K$12</f>
        <v xml:space="preserve">Mort + Sel Acum </v>
      </c>
      <c r="L61" s="293">
        <f>L58+L54</f>
        <v>0</v>
      </c>
      <c r="M61" s="287">
        <f>IF($M$3&gt;0,L61/$M$3,0)</f>
        <v>0</v>
      </c>
      <c r="N61" s="288">
        <f t="shared" ref="N61" ca="1" si="66">SUM(N59:N60)</f>
        <v>0</v>
      </c>
      <c r="O61" s="311">
        <f>'G1'!O61+'G2'!O61+'G3'!O61+'G4'!O61</f>
        <v>0</v>
      </c>
      <c r="P61" s="49">
        <f>IF('G1'!$P$5="Bulto X 40 K",'G1'!P61,'G1'!P61/40)+IF('G2'!$P$5="Bulto X 40 K",'G2'!P61,'G2'!P61/40)+IF('G3'!$P$5="Bulto X 40 K",'G3'!P61,'G3'!P61/40)+IF('G4'!$P$5="Bulto X 40 K",'G4'!P61,'G4'!P61/40)</f>
        <v>0</v>
      </c>
      <c r="Q61" s="49">
        <f>'G1'!Q61+'G2'!Q61+'G3'!Q61+'G4'!Q61</f>
        <v>0</v>
      </c>
      <c r="R61" s="316">
        <f t="shared" si="45"/>
        <v>0</v>
      </c>
      <c r="S61" s="329">
        <f>'G1'!S61+'G2'!S61+'G3'!S61+'G4'!S61</f>
        <v>0</v>
      </c>
      <c r="T61" s="330">
        <f>IF('G1'!$T$5="Bulto X 40 K",'G1'!T61,'G1'!T61/40)+IF('G2'!$T$5="Bulto X 40 K",'G2'!T61,'G2'!T61/40)+IF('G3'!$T$5="Bulto X 40 K",'G3'!T61,'G3'!T61/40)+IF('G4'!$T$5="Bulto X 40 K",'G4'!T61,'G4'!T61/40)</f>
        <v>0</v>
      </c>
      <c r="U61" s="330">
        <f>'G1'!U61+'G2'!U61+'G3'!U61+'G4'!U61</f>
        <v>0</v>
      </c>
      <c r="V61" s="324">
        <f t="shared" si="10"/>
        <v>0</v>
      </c>
      <c r="W61" s="311">
        <f>'G1'!W61+'G2'!W61+'G3'!W61+'G4'!W61</f>
        <v>0</v>
      </c>
      <c r="X61" s="49">
        <f>IF('G1'!$X$5="Bulto X 40 K",'G1'!X61,'G1'!X61/40)+IF('G2'!$X$5="Bulto X 40 K",'G2'!X61,'G2'!X61/40)+IF('G3'!$X$5="Bulto X 40 K",'G3'!X61,'G3'!X61/40)+IF('G4'!$X$5="Bulto X 40 K",'G4'!X61,'G4'!X61/40)</f>
        <v>0</v>
      </c>
      <c r="Y61" s="49">
        <f>'G1'!Y61+'G2'!Y61+'G3'!Y61+'G4'!Y61</f>
        <v>0</v>
      </c>
      <c r="Z61" s="36">
        <f t="shared" si="11"/>
        <v>0</v>
      </c>
      <c r="AA61" s="370">
        <f t="shared" si="14"/>
        <v>0</v>
      </c>
      <c r="AB61" s="371">
        <f t="shared" si="35"/>
        <v>0</v>
      </c>
      <c r="AC61" s="372">
        <f t="shared" si="46"/>
        <v>0</v>
      </c>
      <c r="AD61" s="351">
        <f t="shared" si="36"/>
        <v>0</v>
      </c>
      <c r="AE61" s="502">
        <f t="shared" si="47"/>
        <v>0</v>
      </c>
      <c r="AF61" s="352">
        <f t="shared" si="37"/>
        <v>0</v>
      </c>
      <c r="AG61" s="30">
        <f t="shared" si="38"/>
        <v>0</v>
      </c>
      <c r="AH61" s="48">
        <f>IF($M$3&gt;0,TGsh!C59*$M$4%+TGsh!D59*(1-$M$4%),0)</f>
        <v>0</v>
      </c>
      <c r="AI61" s="342">
        <f>IF($AC$1&gt;0,AK57/1000*J61/$AC$1,0)</f>
        <v>0</v>
      </c>
      <c r="AJ61" s="343" t="str">
        <f>$AJ$12</f>
        <v>Fact. IP</v>
      </c>
      <c r="AK61" s="344">
        <f>IF(AK59&gt;0,AK60/AK59,0)</f>
        <v>0</v>
      </c>
      <c r="AL61" s="345">
        <f>IF(AL59&gt;0,AL60/AL59,0)</f>
        <v>0</v>
      </c>
      <c r="AM61" s="346" t="str">
        <f>IF(AK61&gt;0,(AK61-AL61)/AL61*100,"")</f>
        <v/>
      </c>
      <c r="AN61" s="50"/>
      <c r="AO61" s="50"/>
      <c r="AP61" s="50"/>
      <c r="AQ61" s="50"/>
      <c r="AR61" s="50"/>
      <c r="AS61" s="428">
        <f t="shared" si="39"/>
        <v>0</v>
      </c>
      <c r="AT61" s="428">
        <f t="shared" si="40"/>
        <v>0</v>
      </c>
      <c r="AU61" s="428">
        <f t="shared" si="41"/>
        <v>0</v>
      </c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</row>
    <row r="62" spans="1:58" ht="17.25" thickTop="1" thickBot="1" x14ac:dyDescent="0.3">
      <c r="A62" s="50"/>
      <c r="B62" s="50"/>
      <c r="C62" s="407">
        <f>IF(F62&gt;0,SUMPRODUCT(C6:C61,F6:F61)/F62,0)</f>
        <v>0</v>
      </c>
      <c r="D62" s="857" t="str">
        <f>'G1'!$D$62</f>
        <v xml:space="preserve">Total Ventas : </v>
      </c>
      <c r="E62" s="858"/>
      <c r="F62" s="424">
        <f>SUM(F6:F61)</f>
        <v>0</v>
      </c>
      <c r="G62" s="425">
        <f>SUM(G6:G61)</f>
        <v>0</v>
      </c>
      <c r="H62" s="423">
        <f>IF(F62&gt;0,G62/F62*1000,0)</f>
        <v>0</v>
      </c>
      <c r="I62" s="446">
        <f>IF(F62&gt;0,SUMPRODUCT(F6:F61,I6:I61)/F62,0)</f>
        <v>0</v>
      </c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</row>
    <row r="63" spans="1:58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58" ht="35.25" customHeight="1" x14ac:dyDescent="0.2">
      <c r="A64"/>
      <c r="B64"/>
      <c r="C64"/>
      <c r="D64"/>
      <c r="E64"/>
      <c r="F64"/>
      <c r="G64"/>
      <c r="H64"/>
      <c r="I64"/>
    </row>
    <row r="65" spans="1:9" x14ac:dyDescent="0.2">
      <c r="A65"/>
      <c r="B65"/>
      <c r="C65"/>
      <c r="D65"/>
      <c r="E65"/>
      <c r="F65"/>
      <c r="G65"/>
      <c r="H65"/>
      <c r="I65"/>
    </row>
    <row r="66" spans="1:9" x14ac:dyDescent="0.2">
      <c r="A66"/>
      <c r="B66"/>
      <c r="C66"/>
      <c r="D66"/>
      <c r="E66"/>
      <c r="F66"/>
      <c r="G66"/>
      <c r="H66"/>
      <c r="I66"/>
    </row>
    <row r="67" spans="1:9" x14ac:dyDescent="0.2">
      <c r="A67"/>
      <c r="B67"/>
      <c r="C67"/>
      <c r="D67"/>
      <c r="E67"/>
      <c r="F67"/>
      <c r="G67"/>
      <c r="H67"/>
      <c r="I67"/>
    </row>
    <row r="68" spans="1:9" x14ac:dyDescent="0.2">
      <c r="A68"/>
      <c r="B68"/>
      <c r="C68"/>
      <c r="D68"/>
      <c r="E68"/>
      <c r="F68"/>
      <c r="G68"/>
      <c r="H68"/>
      <c r="I68"/>
    </row>
    <row r="69" spans="1:9" x14ac:dyDescent="0.2">
      <c r="A69"/>
      <c r="B69"/>
      <c r="C69"/>
      <c r="D69"/>
      <c r="E69"/>
      <c r="F69"/>
      <c r="G69"/>
      <c r="H69"/>
      <c r="I69"/>
    </row>
    <row r="70" spans="1:9" x14ac:dyDescent="0.2">
      <c r="A70"/>
      <c r="B70"/>
      <c r="C70"/>
      <c r="D70"/>
      <c r="E70"/>
      <c r="F70"/>
      <c r="G70"/>
      <c r="H70"/>
      <c r="I70"/>
    </row>
    <row r="71" spans="1:9" x14ac:dyDescent="0.2">
      <c r="A71"/>
      <c r="B71"/>
      <c r="C71"/>
      <c r="D71"/>
      <c r="E71"/>
      <c r="F71"/>
      <c r="G71"/>
      <c r="H71"/>
      <c r="I71"/>
    </row>
    <row r="72" spans="1:9" x14ac:dyDescent="0.2">
      <c r="A72"/>
      <c r="B72"/>
      <c r="C72"/>
      <c r="D72"/>
      <c r="E72"/>
      <c r="F72"/>
      <c r="G72"/>
      <c r="H72"/>
      <c r="I72"/>
    </row>
    <row r="73" spans="1:9" x14ac:dyDescent="0.2">
      <c r="A73"/>
      <c r="B73"/>
      <c r="C73"/>
      <c r="D73"/>
      <c r="E73"/>
      <c r="F73"/>
      <c r="G73"/>
      <c r="H73"/>
      <c r="I73"/>
    </row>
    <row r="74" spans="1:9" x14ac:dyDescent="0.2">
      <c r="A74"/>
      <c r="B74"/>
      <c r="C74"/>
      <c r="D74"/>
      <c r="E74"/>
      <c r="F74"/>
      <c r="G74"/>
      <c r="H74"/>
      <c r="I74"/>
    </row>
    <row r="75" spans="1:9" x14ac:dyDescent="0.2">
      <c r="A75"/>
      <c r="B75"/>
      <c r="C75"/>
      <c r="D75"/>
      <c r="E75"/>
      <c r="F75"/>
      <c r="G75"/>
      <c r="H75"/>
      <c r="I75"/>
    </row>
    <row r="76" spans="1:9" x14ac:dyDescent="0.2">
      <c r="A76"/>
      <c r="B76"/>
      <c r="C76"/>
      <c r="D76"/>
      <c r="E76"/>
      <c r="F76"/>
      <c r="G76"/>
      <c r="H76"/>
      <c r="I76"/>
    </row>
    <row r="77" spans="1:9" x14ac:dyDescent="0.2">
      <c r="A77"/>
      <c r="B77"/>
      <c r="C77"/>
      <c r="D77"/>
      <c r="E77"/>
      <c r="F77"/>
      <c r="G77"/>
      <c r="H77"/>
      <c r="I77"/>
    </row>
    <row r="78" spans="1:9" x14ac:dyDescent="0.2">
      <c r="A78"/>
      <c r="B78"/>
      <c r="C78"/>
      <c r="D78"/>
      <c r="E78"/>
      <c r="F78"/>
      <c r="G78"/>
      <c r="H78"/>
      <c r="I78"/>
    </row>
    <row r="79" spans="1:9" x14ac:dyDescent="0.2">
      <c r="A79"/>
      <c r="B79"/>
      <c r="C79"/>
      <c r="D79"/>
      <c r="E79"/>
      <c r="F79"/>
      <c r="G79"/>
      <c r="H79"/>
      <c r="I79"/>
    </row>
    <row r="80" spans="1:9" x14ac:dyDescent="0.2">
      <c r="A80"/>
      <c r="B80"/>
      <c r="C80"/>
      <c r="D80"/>
      <c r="E80"/>
      <c r="F80"/>
      <c r="G80"/>
      <c r="H80"/>
      <c r="I80"/>
    </row>
    <row r="81" spans="1:9" x14ac:dyDescent="0.2">
      <c r="A81"/>
      <c r="B81"/>
      <c r="C81"/>
      <c r="D81"/>
      <c r="E81"/>
      <c r="F81"/>
      <c r="G81"/>
      <c r="H81"/>
      <c r="I81"/>
    </row>
    <row r="82" spans="1:9" x14ac:dyDescent="0.2">
      <c r="A82"/>
      <c r="B82"/>
      <c r="C82"/>
      <c r="D82"/>
      <c r="E82"/>
      <c r="F82"/>
      <c r="G82"/>
      <c r="H82"/>
      <c r="I82"/>
    </row>
    <row r="83" spans="1:9" x14ac:dyDescent="0.2">
      <c r="A83"/>
      <c r="B83"/>
      <c r="C83"/>
      <c r="D83"/>
      <c r="E83"/>
      <c r="F83"/>
      <c r="G83"/>
      <c r="H83"/>
      <c r="I83"/>
    </row>
    <row r="84" spans="1:9" x14ac:dyDescent="0.2">
      <c r="A84"/>
      <c r="B84"/>
      <c r="C84"/>
      <c r="D84"/>
      <c r="E84"/>
      <c r="F84"/>
      <c r="G84"/>
      <c r="H84"/>
      <c r="I84"/>
    </row>
    <row r="85" spans="1:9" x14ac:dyDescent="0.2">
      <c r="A85"/>
      <c r="B85"/>
      <c r="C85"/>
      <c r="D85"/>
      <c r="E85"/>
      <c r="F85"/>
      <c r="G85"/>
      <c r="H85"/>
      <c r="I85"/>
    </row>
    <row r="86" spans="1:9" x14ac:dyDescent="0.2">
      <c r="A86"/>
      <c r="B86"/>
      <c r="C86"/>
      <c r="D86"/>
      <c r="E86"/>
      <c r="F86"/>
      <c r="G86"/>
      <c r="H86"/>
      <c r="I86"/>
    </row>
    <row r="87" spans="1:9" x14ac:dyDescent="0.2">
      <c r="A87"/>
      <c r="B87"/>
      <c r="C87"/>
      <c r="D87"/>
      <c r="E87"/>
      <c r="F87"/>
      <c r="G87"/>
      <c r="H87"/>
      <c r="I87"/>
    </row>
    <row r="88" spans="1:9" x14ac:dyDescent="0.2">
      <c r="A88"/>
      <c r="B88"/>
      <c r="C88"/>
      <c r="D88"/>
      <c r="E88"/>
      <c r="F88"/>
      <c r="G88"/>
      <c r="H88"/>
      <c r="I88"/>
    </row>
    <row r="89" spans="1:9" x14ac:dyDescent="0.2">
      <c r="A89"/>
      <c r="B89"/>
      <c r="C89"/>
      <c r="D89"/>
      <c r="E89"/>
      <c r="F89"/>
      <c r="G89"/>
      <c r="H89"/>
      <c r="I89"/>
    </row>
    <row r="90" spans="1:9" x14ac:dyDescent="0.2">
      <c r="A90"/>
      <c r="B90"/>
      <c r="C90"/>
      <c r="D90"/>
      <c r="E90"/>
      <c r="F90"/>
      <c r="G90"/>
      <c r="H90"/>
      <c r="I90"/>
    </row>
    <row r="91" spans="1:9" x14ac:dyDescent="0.2">
      <c r="A91"/>
      <c r="B91"/>
      <c r="C91"/>
      <c r="D91"/>
      <c r="E91"/>
      <c r="F91"/>
      <c r="G91"/>
      <c r="H91"/>
      <c r="I91"/>
    </row>
    <row r="92" spans="1:9" x14ac:dyDescent="0.2">
      <c r="A92"/>
      <c r="B92"/>
      <c r="C92"/>
      <c r="D92"/>
      <c r="E92"/>
      <c r="F92"/>
      <c r="G92"/>
      <c r="H92"/>
      <c r="I92"/>
    </row>
    <row r="93" spans="1:9" x14ac:dyDescent="0.2">
      <c r="A93"/>
      <c r="B93"/>
      <c r="C93"/>
      <c r="D93"/>
      <c r="E93"/>
      <c r="F93"/>
      <c r="G93"/>
      <c r="H93"/>
      <c r="I93"/>
    </row>
    <row r="94" spans="1:9" x14ac:dyDescent="0.2">
      <c r="A94"/>
      <c r="B94"/>
      <c r="C94"/>
      <c r="D94"/>
      <c r="E94"/>
      <c r="F94"/>
      <c r="G94"/>
      <c r="H94"/>
      <c r="I94"/>
    </row>
    <row r="95" spans="1:9" x14ac:dyDescent="0.2">
      <c r="A95"/>
      <c r="B95"/>
      <c r="C95"/>
      <c r="D95"/>
      <c r="E95"/>
      <c r="F95"/>
      <c r="G95"/>
      <c r="H95"/>
      <c r="I95"/>
    </row>
    <row r="97" spans="1:39" x14ac:dyDescent="0.2">
      <c r="A97"/>
      <c r="B97"/>
      <c r="C97"/>
      <c r="D97"/>
      <c r="E97"/>
      <c r="F97"/>
      <c r="G97"/>
      <c r="H97"/>
      <c r="I97"/>
      <c r="J97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</row>
    <row r="98" spans="1:39" x14ac:dyDescent="0.2">
      <c r="A98"/>
      <c r="B98"/>
      <c r="C98"/>
      <c r="D98"/>
      <c r="E98"/>
      <c r="F98"/>
      <c r="G98"/>
      <c r="H98"/>
      <c r="I98"/>
      <c r="J98"/>
      <c r="K98" s="50"/>
      <c r="L98" s="50"/>
      <c r="M98" s="50"/>
      <c r="N98" s="50"/>
      <c r="O98" s="50"/>
      <c r="P98" s="50"/>
      <c r="Q98" s="50"/>
      <c r="R98" s="50"/>
      <c r="S98" s="50"/>
      <c r="T98" s="51"/>
      <c r="U98" s="51"/>
      <c r="V98" s="51"/>
      <c r="W98" s="51"/>
      <c r="X98" s="50"/>
      <c r="Y98" s="50"/>
      <c r="Z98" s="50"/>
      <c r="AA98" s="50"/>
    </row>
    <row r="99" spans="1:39" x14ac:dyDescent="0.2">
      <c r="A99"/>
      <c r="B99"/>
      <c r="C99"/>
      <c r="D99"/>
      <c r="E99"/>
      <c r="F99"/>
      <c r="G99"/>
      <c r="H99"/>
      <c r="I99"/>
      <c r="J99"/>
      <c r="K99" s="50"/>
      <c r="L99" s="50"/>
      <c r="M99" s="50"/>
      <c r="N99" s="50"/>
      <c r="O99" s="50"/>
      <c r="P99" s="50"/>
      <c r="Q99" s="50"/>
      <c r="R99" s="50"/>
      <c r="S99" s="50"/>
      <c r="T99" s="51"/>
      <c r="U99" s="51"/>
      <c r="V99" s="51"/>
      <c r="W99" s="51"/>
      <c r="X99" s="50"/>
      <c r="Y99" s="50"/>
      <c r="Z99" s="51"/>
      <c r="AA99" s="50"/>
    </row>
    <row r="100" spans="1:39" x14ac:dyDescent="0.2">
      <c r="A100"/>
      <c r="B100"/>
      <c r="C100"/>
      <c r="D100"/>
      <c r="E100"/>
      <c r="F100"/>
      <c r="G100"/>
      <c r="H100"/>
      <c r="I100"/>
      <c r="J100"/>
      <c r="O100"/>
      <c r="P100"/>
      <c r="Q100"/>
      <c r="R100"/>
      <c r="S100"/>
      <c r="T100"/>
      <c r="U100"/>
      <c r="V100"/>
      <c r="W100"/>
      <c r="AM100"/>
    </row>
    <row r="101" spans="1:39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</row>
    <row r="102" spans="1:39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</row>
    <row r="103" spans="1:39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</row>
    <row r="104" spans="1:39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</row>
    <row r="105" spans="1:39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</row>
    <row r="106" spans="1:39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</row>
    <row r="107" spans="1:39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</row>
    <row r="108" spans="1:39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</row>
    <row r="109" spans="1:39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</row>
    <row r="110" spans="1:39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</row>
    <row r="111" spans="1:39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</row>
    <row r="112" spans="1:39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</row>
    <row r="113" spans="1:39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</row>
    <row r="114" spans="1:39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</row>
    <row r="115" spans="1:39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</row>
    <row r="116" spans="1:39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</row>
    <row r="117" spans="1:39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</row>
    <row r="118" spans="1:39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</row>
    <row r="119" spans="1:39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</row>
    <row r="120" spans="1:39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</row>
    <row r="121" spans="1:39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</row>
    <row r="122" spans="1:39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</row>
    <row r="123" spans="1:39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</row>
    <row r="124" spans="1:39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</row>
    <row r="125" spans="1:39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</row>
    <row r="126" spans="1:39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</row>
    <row r="127" spans="1:39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</row>
    <row r="128" spans="1:39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</row>
    <row r="129" spans="1:39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</row>
    <row r="130" spans="1:39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</row>
    <row r="131" spans="1:39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</row>
    <row r="132" spans="1:39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</row>
    <row r="133" spans="1:39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</row>
    <row r="134" spans="1:39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</row>
    <row r="135" spans="1:39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</row>
    <row r="136" spans="1:39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</row>
    <row r="137" spans="1:39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</row>
    <row r="138" spans="1:39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</row>
    <row r="139" spans="1:39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</row>
    <row r="140" spans="1:39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</row>
    <row r="141" spans="1:39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</row>
    <row r="142" spans="1:39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</row>
    <row r="143" spans="1:39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</row>
    <row r="144" spans="1:39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</row>
    <row r="145" spans="1:39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</row>
    <row r="146" spans="1:39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</row>
    <row r="147" spans="1:39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</row>
    <row r="148" spans="1:39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</row>
    <row r="149" spans="1:39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</row>
    <row r="150" spans="1:39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</row>
    <row r="151" spans="1:39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</row>
    <row r="152" spans="1:39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</row>
    <row r="153" spans="1:39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</row>
    <row r="154" spans="1:39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</row>
    <row r="155" spans="1:39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</row>
    <row r="156" spans="1:39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</row>
    <row r="157" spans="1:39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</row>
    <row r="158" spans="1:39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</row>
    <row r="159" spans="1:39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</row>
    <row r="160" spans="1:39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</row>
    <row r="161" spans="1:39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</row>
    <row r="162" spans="1:39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</row>
    <row r="163" spans="1:39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</row>
    <row r="164" spans="1:39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</row>
    <row r="165" spans="1:39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</row>
    <row r="166" spans="1:39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</row>
    <row r="167" spans="1:39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</row>
    <row r="168" spans="1:39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</row>
    <row r="169" spans="1:39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</row>
    <row r="170" spans="1:39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</row>
    <row r="171" spans="1:39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</row>
    <row r="172" spans="1:39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</row>
    <row r="173" spans="1:39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</row>
    <row r="174" spans="1:39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</row>
    <row r="175" spans="1:39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</row>
    <row r="176" spans="1:39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</row>
    <row r="177" spans="11:39" x14ac:dyDescent="0.2"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</row>
    <row r="178" spans="11:39" x14ac:dyDescent="0.2"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</row>
    <row r="179" spans="11:39" x14ac:dyDescent="0.2"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</row>
    <row r="180" spans="11:39" x14ac:dyDescent="0.2"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</row>
  </sheetData>
  <sheetProtection algorithmName="SHA-512" hashValue="JB2vZbc8FC+uOidQ9yEMu2QdYj30rm8s7YjmpDAwVFwBO6EPMEd6naftYdeWGFLBdj2s04iFwqp7GUnOi8dWOw==" saltValue="ZKL1wDcfA+87t8lFfoDGXw==" spinCount="100000" sheet="1" formatCells="0" formatColumns="0" formatRows="0" sort="0" autoFilter="0"/>
  <autoFilter ref="B5:B61" xr:uid="{00000000-0009-0000-0000-000005000000}"/>
  <mergeCells count="66">
    <mergeCell ref="E4:F4"/>
    <mergeCell ref="S1:T1"/>
    <mergeCell ref="Q2:R2"/>
    <mergeCell ref="U1:V1"/>
    <mergeCell ref="S2:T2"/>
    <mergeCell ref="O3:R3"/>
    <mergeCell ref="U2:V2"/>
    <mergeCell ref="S4:T4"/>
    <mergeCell ref="U4:V4"/>
    <mergeCell ref="S3:V3"/>
    <mergeCell ref="A41:A47"/>
    <mergeCell ref="A34:A40"/>
    <mergeCell ref="A13:A19"/>
    <mergeCell ref="M4:N4"/>
    <mergeCell ref="A6:A12"/>
    <mergeCell ref="A1:C4"/>
    <mergeCell ref="K2:L2"/>
    <mergeCell ref="K5:N5"/>
    <mergeCell ref="D1:G1"/>
    <mergeCell ref="D2:G2"/>
    <mergeCell ref="D3:G3"/>
    <mergeCell ref="H1:J1"/>
    <mergeCell ref="H2:J2"/>
    <mergeCell ref="H3:J3"/>
    <mergeCell ref="K1:L1"/>
    <mergeCell ref="K3:L3"/>
    <mergeCell ref="A55:A61"/>
    <mergeCell ref="A48:A54"/>
    <mergeCell ref="AA2:AB2"/>
    <mergeCell ref="O1:P1"/>
    <mergeCell ref="O2:P2"/>
    <mergeCell ref="Q1:R1"/>
    <mergeCell ref="O4:P4"/>
    <mergeCell ref="Q4:R4"/>
    <mergeCell ref="K4:L4"/>
    <mergeCell ref="M1:N1"/>
    <mergeCell ref="M2:N2"/>
    <mergeCell ref="M3:N3"/>
    <mergeCell ref="A27:A33"/>
    <mergeCell ref="A20:A26"/>
    <mergeCell ref="W2:X2"/>
    <mergeCell ref="Y2:Z2"/>
    <mergeCell ref="W4:X4"/>
    <mergeCell ref="AD1:AF1"/>
    <mergeCell ref="AD2:AF2"/>
    <mergeCell ref="AD3:AF3"/>
    <mergeCell ref="W1:X1"/>
    <mergeCell ref="Y1:Z1"/>
    <mergeCell ref="AA3:AB3"/>
    <mergeCell ref="AA1:AB1"/>
    <mergeCell ref="AA4:AH4"/>
    <mergeCell ref="AG1:AI1"/>
    <mergeCell ref="AG2:AI2"/>
    <mergeCell ref="AG3:AI3"/>
    <mergeCell ref="W3:Z3"/>
    <mergeCell ref="Y4:Z4"/>
    <mergeCell ref="AI4:AM4"/>
    <mergeCell ref="AI24:AI25"/>
    <mergeCell ref="AI31:AI32"/>
    <mergeCell ref="AI38:AI39"/>
    <mergeCell ref="AI10:AI11"/>
    <mergeCell ref="D62:E62"/>
    <mergeCell ref="AI45:AI46"/>
    <mergeCell ref="AI52:AI53"/>
    <mergeCell ref="AI59:AI60"/>
    <mergeCell ref="AI17:AI18"/>
  </mergeCells>
  <conditionalFormatting sqref="B6:AH61">
    <cfRule type="expression" dxfId="7" priority="1">
      <formula>AND(($C6)/7=INT(($C6)/7))</formula>
    </cfRule>
  </conditionalFormatting>
  <conditionalFormatting sqref="L6:M61">
    <cfRule type="expression" dxfId="6" priority="33">
      <formula>AND($M6&gt;$N6)</formula>
    </cfRule>
  </conditionalFormatting>
  <conditionalFormatting sqref="AG6:AG61">
    <cfRule type="expression" dxfId="5" priority="84">
      <formula>AND($AG6&lt;$AH6*0.95,$AG6&gt;0)</formula>
    </cfRule>
  </conditionalFormatting>
  <printOptions horizontalCentered="1"/>
  <pageMargins left="0.47244094488188981" right="0.51181102362204722" top="0.35433070866141736" bottom="0.35433070866141736" header="0.23622047244094491" footer="0.31496062992125984"/>
  <pageSetup scale="53" fitToWidth="2" orientation="landscape" horizontalDpi="300" verticalDpi="300" r:id="rId1"/>
  <colBreaks count="1" manualBreakCount="1">
    <brk id="39" max="60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/>
  <dimension ref="A1:J35"/>
  <sheetViews>
    <sheetView showGridLines="0" showRowColHeaders="0" showZero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7" sqref="C7"/>
    </sheetView>
  </sheetViews>
  <sheetFormatPr baseColWidth="10" defaultColWidth="0" defaultRowHeight="12.75" zeroHeight="1" x14ac:dyDescent="0.2"/>
  <cols>
    <col min="1" max="1" width="43" style="146" bestFit="1" customWidth="1"/>
    <col min="2" max="2" width="24.33203125" style="146" customWidth="1"/>
    <col min="3" max="3" width="23.33203125" style="146" customWidth="1"/>
    <col min="4" max="4" width="14" style="146" customWidth="1"/>
    <col min="5" max="6" width="20.1640625" style="146" bestFit="1" customWidth="1"/>
    <col min="7" max="8" width="20.1640625" style="146" customWidth="1"/>
    <col min="9" max="9" width="13.33203125" style="146" bestFit="1" customWidth="1"/>
    <col min="10" max="10" width="11" style="146" customWidth="1"/>
    <col min="11" max="16384" width="11" style="146" hidden="1"/>
  </cols>
  <sheetData>
    <row r="1" spans="1:8" ht="39.75" customHeight="1" thickBot="1" x14ac:dyDescent="0.25">
      <c r="B1" s="974" t="s">
        <v>140</v>
      </c>
      <c r="C1" s="974"/>
      <c r="D1" s="974"/>
      <c r="E1" s="269" t="s">
        <v>141</v>
      </c>
    </row>
    <row r="2" spans="1:8" ht="24" customHeight="1" thickBot="1" x14ac:dyDescent="0.25">
      <c r="A2" s="147" t="str">
        <f>CONCATENATE("Liquidación Lote ",'G1'!H4)</f>
        <v xml:space="preserve">Liquidación Lote </v>
      </c>
      <c r="B2" s="148" t="s">
        <v>110</v>
      </c>
      <c r="C2" s="149" t="s">
        <v>114</v>
      </c>
      <c r="D2" s="150" t="str">
        <f>Con!AM5</f>
        <v>% Cumpl</v>
      </c>
      <c r="E2" s="448" t="s">
        <v>108</v>
      </c>
      <c r="F2" s="450" t="s">
        <v>109</v>
      </c>
      <c r="G2" s="450" t="s">
        <v>184</v>
      </c>
      <c r="H2" s="449" t="s">
        <v>185</v>
      </c>
    </row>
    <row r="3" spans="1:8" ht="15.75" thickTop="1" x14ac:dyDescent="0.2">
      <c r="A3" s="151" t="s">
        <v>62</v>
      </c>
      <c r="B3" s="152">
        <f>Con!M3</f>
        <v>0</v>
      </c>
      <c r="C3" s="153"/>
      <c r="D3" s="154" t="str">
        <f>IF(AND(B3&gt;0,C3&gt;0),(B3-C3)/C3*100,"")</f>
        <v/>
      </c>
      <c r="E3" s="155">
        <f>'G1'!M3</f>
        <v>0</v>
      </c>
      <c r="F3" s="451">
        <f>'G2'!M3</f>
        <v>0</v>
      </c>
      <c r="G3" s="451">
        <f>'G3'!M3</f>
        <v>0</v>
      </c>
      <c r="H3" s="156">
        <f>'G4'!M3</f>
        <v>0</v>
      </c>
    </row>
    <row r="4" spans="1:8" ht="15" x14ac:dyDescent="0.2">
      <c r="A4" s="157" t="s">
        <v>63</v>
      </c>
      <c r="B4" s="158">
        <f>Con!F62</f>
        <v>0</v>
      </c>
      <c r="C4" s="159">
        <f>B3*C9</f>
        <v>0</v>
      </c>
      <c r="D4" s="160" t="str">
        <f>IF(AND(B4&gt;0,C4&gt;0),(B4-C4)/C4*100,"")</f>
        <v/>
      </c>
      <c r="E4" s="161">
        <f>'G1'!F62</f>
        <v>0</v>
      </c>
      <c r="F4" s="452">
        <f>'G2'!F62</f>
        <v>0</v>
      </c>
      <c r="G4" s="452">
        <f>'G3'!F62</f>
        <v>0</v>
      </c>
      <c r="H4" s="453">
        <f>'G4'!F62</f>
        <v>0</v>
      </c>
    </row>
    <row r="5" spans="1:8" ht="15" x14ac:dyDescent="0.2">
      <c r="A5" s="157" t="s">
        <v>64</v>
      </c>
      <c r="B5" s="158">
        <f>SUM(Con!D6:D61)</f>
        <v>0</v>
      </c>
      <c r="C5" s="159">
        <f>C4*C7</f>
        <v>0</v>
      </c>
      <c r="D5" s="162" t="str">
        <f>IF(C5&gt;0,(B5-C5)/C5*100,"")</f>
        <v/>
      </c>
      <c r="E5" s="161">
        <f>SUM('G1'!D6:D61)</f>
        <v>0</v>
      </c>
      <c r="F5" s="452">
        <f>SUM('G2'!D6:D61)</f>
        <v>0</v>
      </c>
      <c r="G5" s="452">
        <f>SUM('G3'!D6:D61)</f>
        <v>0</v>
      </c>
      <c r="H5" s="453">
        <f>SUM('G4'!D6:D61)</f>
        <v>0</v>
      </c>
    </row>
    <row r="6" spans="1:8" ht="15" x14ac:dyDescent="0.2">
      <c r="A6" s="157" t="s">
        <v>65</v>
      </c>
      <c r="B6" s="158">
        <f>SUM(Con!E6:E61)</f>
        <v>0</v>
      </c>
      <c r="C6" s="159">
        <f>C4*C8</f>
        <v>0</v>
      </c>
      <c r="D6" s="162" t="str">
        <f>IF(C6&gt;0,(B6-C6)/C6*100,"")</f>
        <v/>
      </c>
      <c r="E6" s="161">
        <f>SUM('G1'!E6:E61)</f>
        <v>0</v>
      </c>
      <c r="F6" s="452">
        <f>SUM('G2'!E6:E61)</f>
        <v>0</v>
      </c>
      <c r="G6" s="452">
        <f>SUM('G3'!E6:E61)</f>
        <v>0</v>
      </c>
      <c r="H6" s="453">
        <f>SUM('G4'!E6:E61)</f>
        <v>0</v>
      </c>
    </row>
    <row r="7" spans="1:8" ht="15.75" x14ac:dyDescent="0.25">
      <c r="A7" s="157" t="s">
        <v>66</v>
      </c>
      <c r="B7" s="86">
        <f>IF(B3&gt;0,B5/B3,0)</f>
        <v>0</v>
      </c>
      <c r="C7" s="71"/>
      <c r="D7" s="162" t="str">
        <f>IF(C7&gt;0,(B7-C7)/C7*100,"")</f>
        <v/>
      </c>
      <c r="E7" s="164">
        <f>IF(E3&gt;0,E5/E3,0)</f>
        <v>0</v>
      </c>
      <c r="F7" s="454">
        <f>IF(F3&gt;0,F5/F3,0)</f>
        <v>0</v>
      </c>
      <c r="G7" s="454">
        <f>IF(G3&gt;0,G5/G3,0)</f>
        <v>0</v>
      </c>
      <c r="H7" s="455">
        <f>IF(H3&gt;0,H5/H3,0)</f>
        <v>0</v>
      </c>
    </row>
    <row r="8" spans="1:8" ht="15" x14ac:dyDescent="0.2">
      <c r="A8" s="157" t="s">
        <v>67</v>
      </c>
      <c r="B8" s="163">
        <f>IF(B3&gt;0,B6/B3,0)</f>
        <v>0</v>
      </c>
      <c r="C8" s="312">
        <f>Con!N60</f>
        <v>0</v>
      </c>
      <c r="D8" s="162" t="str">
        <f>IF(C8&gt;0,(B8-C8)/C8*100,"")</f>
        <v/>
      </c>
      <c r="E8" s="164">
        <f>IF(E3&gt;0,E6/E3,0)</f>
        <v>0</v>
      </c>
      <c r="F8" s="454">
        <f>IF(F3&gt;0,F6/F3,0)</f>
        <v>0</v>
      </c>
      <c r="G8" s="454">
        <f>IF(G3&gt;0,G6/G3,0)</f>
        <v>0</v>
      </c>
      <c r="H8" s="455">
        <f>IF(H3&gt;0,H6/H3,0)</f>
        <v>0</v>
      </c>
    </row>
    <row r="9" spans="1:8" ht="15.75" thickBot="1" x14ac:dyDescent="0.25">
      <c r="A9" s="165" t="s">
        <v>68</v>
      </c>
      <c r="B9" s="166">
        <f>IF(B3&gt;0,B4/B3,0)</f>
        <v>0</v>
      </c>
      <c r="C9" s="167">
        <f>1-(C7+C8)</f>
        <v>1</v>
      </c>
      <c r="D9" s="168" t="str">
        <f t="shared" ref="D9" si="0">IF(B9&gt;0,(B9-C9)/C9*100,"")</f>
        <v/>
      </c>
      <c r="E9" s="169">
        <f>IF(E3&gt;0,E4/E3,0)</f>
        <v>0</v>
      </c>
      <c r="F9" s="456">
        <f>IF(F3&gt;0,F4/F3,0)</f>
        <v>0</v>
      </c>
      <c r="G9" s="456">
        <f>IF(G3&gt;0,G4/G3,0)</f>
        <v>0</v>
      </c>
      <c r="H9" s="457">
        <f>IF(H3&gt;0,H4/H3,0)</f>
        <v>0</v>
      </c>
    </row>
    <row r="10" spans="1:8" ht="13.5" thickBot="1" x14ac:dyDescent="0.25"/>
    <row r="11" spans="1:8" ht="15" x14ac:dyDescent="0.2">
      <c r="A11" s="170" t="s">
        <v>115</v>
      </c>
      <c r="B11" s="171">
        <f>SUM(Con!$P$6:$P$61)*IF(Con!$P$5="Kilos",1,40)</f>
        <v>0</v>
      </c>
      <c r="C11" s="172">
        <f>(SUMIF(Con!AD6:AD14,"&gt;0",Con!AF6:AF14)*40)</f>
        <v>0</v>
      </c>
      <c r="D11" s="173" t="str">
        <f>IF(AND(B11&gt;0,C11&gt;0),(B11-C11)/C11*100,"")</f>
        <v/>
      </c>
      <c r="E11" s="458">
        <f>SUM('G1'!$P$6:$P$61)*IF('G1'!$P$5="Kilos",1,40)</f>
        <v>0</v>
      </c>
      <c r="F11" s="459">
        <f>SUM('G2'!$P$6:$P$61)*IF('G2'!$P$5="Kilos",1,40)</f>
        <v>0</v>
      </c>
      <c r="G11" s="459">
        <f>SUM('G3'!$P$6:$P$61)*IF('G3'!$P$5="Kilos",1,40)</f>
        <v>0</v>
      </c>
      <c r="H11" s="174">
        <f>SUM('G4'!$P$6:$P$61)*IF('G4'!$P$5="Kilos",1,40)</f>
        <v>0</v>
      </c>
    </row>
    <row r="12" spans="1:8" ht="15" x14ac:dyDescent="0.2">
      <c r="A12" s="175" t="s">
        <v>41</v>
      </c>
      <c r="B12" s="176">
        <f>IF(B11&gt;0,SUMPRODUCT(E11:H11,E12:H12)/B11,0)</f>
        <v>0</v>
      </c>
      <c r="C12" s="177"/>
      <c r="D12" s="178" t="str">
        <f>IF(C12&gt;0,(B12-C12)/C12*100,"")</f>
        <v/>
      </c>
      <c r="E12" s="460">
        <f>'G1'!Q4</f>
        <v>0</v>
      </c>
      <c r="F12" s="461">
        <f>'G2'!$Q$4</f>
        <v>0</v>
      </c>
      <c r="G12" s="461">
        <f>'G3'!$Q$4</f>
        <v>0</v>
      </c>
      <c r="H12" s="179">
        <f>'G4'!$Q$4</f>
        <v>0</v>
      </c>
    </row>
    <row r="13" spans="1:8" ht="15" x14ac:dyDescent="0.2">
      <c r="A13" s="180" t="s">
        <v>116</v>
      </c>
      <c r="B13" s="181">
        <f>SUM(Con!T6:T61)*IF(Con!T5="Kilos",1,40)</f>
        <v>0</v>
      </c>
      <c r="C13" s="182">
        <f>SUMIF(Con!AD15:AD27,"&gt;0",Con!AF15:AF27)*40</f>
        <v>0</v>
      </c>
      <c r="D13" s="183" t="str">
        <f>IF(AND(B13&gt;0,C13&gt;0),(B13-C13)/C13*100,"")</f>
        <v/>
      </c>
      <c r="E13" s="462">
        <f>SUM('G1'!T6:T61)*IF('G1'!T5="Kilos",1,40)</f>
        <v>0</v>
      </c>
      <c r="F13" s="463">
        <f>SUM('G2'!T6:T61)*IF('G2'!T5="Kilos",1,40)</f>
        <v>0</v>
      </c>
      <c r="G13" s="463">
        <f>SUM('G3'!T6:T61)*IF('G3'!T5="Kilos",1,40)</f>
        <v>0</v>
      </c>
      <c r="H13" s="184">
        <f>SUM('G4'!T6:T61)*IF('G4'!T5="Kilos",1,40)</f>
        <v>0</v>
      </c>
    </row>
    <row r="14" spans="1:8" ht="15" x14ac:dyDescent="0.2">
      <c r="A14" s="175" t="s">
        <v>42</v>
      </c>
      <c r="B14" s="176">
        <f>IF(B13&gt;0,SUMPRODUCT(E13:H13,E14:H14)/B13,0)</f>
        <v>0</v>
      </c>
      <c r="C14" s="177"/>
      <c r="D14" s="185" t="str">
        <f>IF(C14&gt;0,(B14-C14)/C14*100,"")</f>
        <v/>
      </c>
      <c r="E14" s="460">
        <f>'G1'!U4</f>
        <v>0</v>
      </c>
      <c r="F14" s="461">
        <f>'G2'!$U$4</f>
        <v>0</v>
      </c>
      <c r="G14" s="461">
        <f>'G3'!$U$4</f>
        <v>0</v>
      </c>
      <c r="H14" s="179">
        <f>'G4'!$U$4</f>
        <v>0</v>
      </c>
    </row>
    <row r="15" spans="1:8" ht="15" x14ac:dyDescent="0.2">
      <c r="A15" s="180" t="s">
        <v>143</v>
      </c>
      <c r="B15" s="186">
        <f>B17*1000-B11-B13</f>
        <v>0</v>
      </c>
      <c r="C15" s="182">
        <f>SUMIF(Con!AD28:AD61,"&gt;0",Con!AF28:AF61)*40</f>
        <v>0</v>
      </c>
      <c r="D15" s="183" t="str">
        <f>IF(AND(B15&gt;0,C15&gt;0),(B15-C15)/C15*100,"")</f>
        <v/>
      </c>
      <c r="E15" s="464">
        <f>E17*1000-E11-E13</f>
        <v>0</v>
      </c>
      <c r="F15" s="465">
        <f>F17*1000-F11-F13</f>
        <v>0</v>
      </c>
      <c r="G15" s="465">
        <f>G17*1000-G11-G13</f>
        <v>0</v>
      </c>
      <c r="H15" s="187">
        <f>H17*1000-H11-H13</f>
        <v>0</v>
      </c>
    </row>
    <row r="16" spans="1:8" ht="15.75" thickBot="1" x14ac:dyDescent="0.25">
      <c r="A16" s="188" t="s">
        <v>144</v>
      </c>
      <c r="B16" s="189">
        <f>IF(B15&gt;0,SUMPRODUCT(E15:H15,E16:H16)/B15,0)</f>
        <v>0</v>
      </c>
      <c r="C16" s="355"/>
      <c r="D16" s="356" t="str">
        <f>IF(C16&gt;0,(B16-C16)/C16*100,"")</f>
        <v/>
      </c>
      <c r="E16" s="466">
        <f>'G1'!Y4</f>
        <v>0</v>
      </c>
      <c r="F16" s="467">
        <f>'G2'!Y4</f>
        <v>0</v>
      </c>
      <c r="G16" s="467">
        <f>'G3'!Y4</f>
        <v>0</v>
      </c>
      <c r="H16" s="190">
        <f>'G4'!Y4</f>
        <v>0</v>
      </c>
    </row>
    <row r="17" spans="1:8" ht="15" x14ac:dyDescent="0.2">
      <c r="A17" s="191" t="s">
        <v>117</v>
      </c>
      <c r="B17" s="192">
        <f>SUM(Con!AD6:AD61)*40/1000</f>
        <v>0</v>
      </c>
      <c r="C17" s="357">
        <f>(C11+C13+C15)/1000</f>
        <v>0</v>
      </c>
      <c r="D17" s="358" t="str">
        <f>IF(AND(B17&gt;0,C17&gt;0),(B17-C17)/C17*100,"")</f>
        <v/>
      </c>
      <c r="E17" s="468">
        <f>SUM('G1'!AD6:AD61)*40/1000</f>
        <v>0</v>
      </c>
      <c r="F17" s="359">
        <f>SUM('G2'!AD6:AD61)*40/1000</f>
        <v>0</v>
      </c>
      <c r="G17" s="359">
        <f>SUM('G3'!AD6:AD61)*40/1000</f>
        <v>0</v>
      </c>
      <c r="H17" s="193">
        <f>SUM('G4'!AD6:AD61)*40/1000</f>
        <v>0</v>
      </c>
    </row>
    <row r="18" spans="1:8" ht="15" x14ac:dyDescent="0.2">
      <c r="A18" s="194" t="s">
        <v>77</v>
      </c>
      <c r="B18" s="195">
        <f>IF(B17&gt;0,((B11*B12)+(B13*B14)+(B15*B16))/(B17*1000),0)</f>
        <v>0</v>
      </c>
      <c r="C18" s="196">
        <f>IF(C17&gt;0,((C11*C12)+(C13*C14)+(C15*C16))/(C17*1000),0)</f>
        <v>0</v>
      </c>
      <c r="D18" s="197" t="str">
        <f>IF(C18&gt;0,(B18-C18)/C18*100,"")</f>
        <v/>
      </c>
      <c r="E18" s="469">
        <f>IF(E17&gt;0,((E11*E12)+(E13*E14)+(E15*E16))/(E17*1000),0)</f>
        <v>0</v>
      </c>
      <c r="F18" s="470">
        <f>IF(F17&gt;0,((F11*F12)+(F13*F14)+(F15*F16))/(F17*1000),0)</f>
        <v>0</v>
      </c>
      <c r="G18" s="470">
        <f>IF(G17&gt;0,((G11*G12)+(G13*G14)+(G15*G16))/(G17*1000),0)</f>
        <v>0</v>
      </c>
      <c r="H18" s="198">
        <f>IF(H17&gt;0,((H11*H12)+(H13*H14)+(H15*H16))/(H17*1000),0)</f>
        <v>0</v>
      </c>
    </row>
    <row r="19" spans="1:8" ht="15.75" thickBot="1" x14ac:dyDescent="0.25">
      <c r="A19" s="199" t="s">
        <v>76</v>
      </c>
      <c r="B19" s="200">
        <f>IF(B4&gt;0,B17*1000000/B4,0)</f>
        <v>0</v>
      </c>
      <c r="C19" s="201">
        <f>IF(C4&gt;0,C17*1000000/C4,0)</f>
        <v>0</v>
      </c>
      <c r="D19" s="202" t="str">
        <f t="shared" ref="D19" si="1">IF(B19&gt;0,(B19-C19)/C19*100,"")</f>
        <v/>
      </c>
      <c r="E19" s="471">
        <f>IF(E4&gt;0,E17*1000000/E4,0)</f>
        <v>0</v>
      </c>
      <c r="F19" s="472">
        <f>IF(F4&gt;0,F17*1000000/F4,0)</f>
        <v>0</v>
      </c>
      <c r="G19" s="472">
        <f>IF(G4&gt;0,G17*1000000/G4,0)</f>
        <v>0</v>
      </c>
      <c r="H19" s="473">
        <f>IF(H4&gt;0,H17*1000000/H4,0)</f>
        <v>0</v>
      </c>
    </row>
    <row r="20" spans="1:8" ht="13.5" thickBot="1" x14ac:dyDescent="0.25"/>
    <row r="21" spans="1:8" ht="15" x14ac:dyDescent="0.2">
      <c r="A21" s="170" t="s">
        <v>69</v>
      </c>
      <c r="B21" s="203">
        <f>Con!G62</f>
        <v>0</v>
      </c>
      <c r="C21" s="426">
        <f>C22/1000*C4</f>
        <v>0</v>
      </c>
      <c r="D21" s="204" t="str">
        <f>IF(AND(B21&gt;0,C21&gt;0),(B21-C21)/C21*100,"")</f>
        <v/>
      </c>
      <c r="E21" s="474">
        <f>'G1'!G62</f>
        <v>0</v>
      </c>
      <c r="F21" s="475">
        <f>'G2'!$G$62</f>
        <v>0</v>
      </c>
      <c r="G21" s="475">
        <f>'G3'!$G$62</f>
        <v>0</v>
      </c>
      <c r="H21" s="205">
        <f>'G4'!$G$62</f>
        <v>0</v>
      </c>
    </row>
    <row r="22" spans="1:8" ht="15" x14ac:dyDescent="0.2">
      <c r="A22" s="206" t="s">
        <v>75</v>
      </c>
      <c r="B22" s="207">
        <f>IF(B4&gt;0,B21/B4*1000,0)</f>
        <v>0</v>
      </c>
      <c r="C22" s="427">
        <f>Con!I62</f>
        <v>0</v>
      </c>
      <c r="D22" s="208" t="str">
        <f>IF(AND(B22&gt;0,C22&gt;0),(B22-C22)/C22*100,"")</f>
        <v/>
      </c>
      <c r="E22" s="476">
        <f>IF(E4&gt;0,E21/E4*1000,0)</f>
        <v>0</v>
      </c>
      <c r="F22" s="477">
        <f>IF(F4&gt;0,F21/F4*1000,0)</f>
        <v>0</v>
      </c>
      <c r="G22" s="477">
        <f>IF(G4&gt;0,G21/G4*1000,0)</f>
        <v>0</v>
      </c>
      <c r="H22" s="478">
        <f>IF(H4&gt;0,H21/H4*1000,0)</f>
        <v>0</v>
      </c>
    </row>
    <row r="23" spans="1:8" ht="15.75" thickBot="1" x14ac:dyDescent="0.25">
      <c r="A23" s="209" t="s">
        <v>43</v>
      </c>
      <c r="B23" s="975">
        <f>Con!C62</f>
        <v>0</v>
      </c>
      <c r="C23" s="976"/>
      <c r="D23" s="210"/>
      <c r="E23" s="479">
        <f>'G1'!C62</f>
        <v>0</v>
      </c>
      <c r="F23" s="480">
        <f>'G2'!$C$62</f>
        <v>0</v>
      </c>
      <c r="G23" s="480">
        <f>'G3'!$C$62</f>
        <v>0</v>
      </c>
      <c r="H23" s="211">
        <f>'G4'!$C$62</f>
        <v>0</v>
      </c>
    </row>
    <row r="24" spans="1:8" ht="13.5" thickBot="1" x14ac:dyDescent="0.25"/>
    <row r="25" spans="1:8" ht="15" x14ac:dyDescent="0.2">
      <c r="A25" s="170" t="s">
        <v>70</v>
      </c>
      <c r="B25" s="212">
        <f>IF(B4&gt;0,B21*1000/B23/B4,0)</f>
        <v>0</v>
      </c>
      <c r="C25" s="213">
        <f>IF(C4&gt;0,C21*1000/B23/C4,0)</f>
        <v>0</v>
      </c>
      <c r="D25" s="204" t="str">
        <f>IF(AND(B25&gt;0,C25&gt;0),(B25-C25)/C25*100,"")</f>
        <v/>
      </c>
      <c r="E25" s="481">
        <f>IF(E4&gt;0,E21*1000/E23/E4,0)</f>
        <v>0</v>
      </c>
      <c r="F25" s="482">
        <f>IF(F4&gt;0,F21*1000/F23/F4,0)</f>
        <v>0</v>
      </c>
      <c r="G25" s="482">
        <f>IF(G4&gt;0,G21*1000/G23/G4,0)</f>
        <v>0</v>
      </c>
      <c r="H25" s="214">
        <f>IF(H4&gt;0,H21*1000/H23/H4,0)</f>
        <v>0</v>
      </c>
    </row>
    <row r="26" spans="1:8" ht="15" x14ac:dyDescent="0.2">
      <c r="A26" s="194" t="s">
        <v>71</v>
      </c>
      <c r="B26" s="215">
        <f>IF(B21&gt;0,B17*1000/B21,0)</f>
        <v>0</v>
      </c>
      <c r="C26" s="216">
        <f>IF(C21&gt;0,C17*1000/C21,0)</f>
        <v>0</v>
      </c>
      <c r="D26" s="217" t="str">
        <f t="shared" ref="D26:D33" si="2">IF(B26&gt;0,(B26-C26)/C26*100,"")</f>
        <v/>
      </c>
      <c r="E26" s="483">
        <f>IF(E21&gt;0,E17*1000/E21,0)</f>
        <v>0</v>
      </c>
      <c r="F26" s="484">
        <f>IF(F21&gt;0,F17*1000/F21,0)</f>
        <v>0</v>
      </c>
      <c r="G26" s="484">
        <f>IF(G21&gt;0,G17*1000/G21,0)</f>
        <v>0</v>
      </c>
      <c r="H26" s="218">
        <f>IF(H21&gt;0,H17*1000/H21,0)</f>
        <v>0</v>
      </c>
    </row>
    <row r="27" spans="1:8" ht="15" x14ac:dyDescent="0.2">
      <c r="A27" s="194" t="s">
        <v>72</v>
      </c>
      <c r="B27" s="219">
        <f>IF(B26&gt;0,B22/B26/10,0)</f>
        <v>0</v>
      </c>
      <c r="C27" s="220">
        <f>IF(C26&gt;0,C22/C26/10,0)</f>
        <v>0</v>
      </c>
      <c r="D27" s="221" t="str">
        <f t="shared" si="2"/>
        <v/>
      </c>
      <c r="E27" s="485">
        <f>IF(E26&gt;0,E22/E26/10,0)</f>
        <v>0</v>
      </c>
      <c r="F27" s="486">
        <f>IF(F26&gt;0,F22/F26/10,0)</f>
        <v>0</v>
      </c>
      <c r="G27" s="486">
        <f>IF(G26&gt;0,G22/G26/10,0)</f>
        <v>0</v>
      </c>
      <c r="H27" s="222">
        <f>IF(H26&gt;0,H22/H26/10,0)</f>
        <v>0</v>
      </c>
    </row>
    <row r="28" spans="1:8" ht="15" x14ac:dyDescent="0.2">
      <c r="A28" s="194" t="s">
        <v>73</v>
      </c>
      <c r="B28" s="219">
        <f>IF(B26&gt;0,B27/B26,0)</f>
        <v>0</v>
      </c>
      <c r="C28" s="220">
        <f>IF(C26&gt;0,C27/C26,0)</f>
        <v>0</v>
      </c>
      <c r="D28" s="221" t="str">
        <f t="shared" si="2"/>
        <v/>
      </c>
      <c r="E28" s="485">
        <f>IF(E26&gt;0,E27/E26,0)</f>
        <v>0</v>
      </c>
      <c r="F28" s="486">
        <f>IF(F26&gt;0,F27/F26,0)</f>
        <v>0</v>
      </c>
      <c r="G28" s="486">
        <f>IF(G26&gt;0,G27/G26,0)</f>
        <v>0</v>
      </c>
      <c r="H28" s="222">
        <f>IF(H26&gt;0,H27/H26,0)</f>
        <v>0</v>
      </c>
    </row>
    <row r="29" spans="1:8" ht="15.75" thickBot="1" x14ac:dyDescent="0.25">
      <c r="A29" s="194" t="s">
        <v>78</v>
      </c>
      <c r="B29" s="219">
        <f>B28*B9</f>
        <v>0</v>
      </c>
      <c r="C29" s="220">
        <f>C28*C9</f>
        <v>0</v>
      </c>
      <c r="D29" s="221" t="str">
        <f t="shared" si="2"/>
        <v/>
      </c>
      <c r="E29" s="485">
        <f>E28*E9</f>
        <v>0</v>
      </c>
      <c r="F29" s="486">
        <f>F28*F9</f>
        <v>0</v>
      </c>
      <c r="G29" s="486">
        <f>G28*G9</f>
        <v>0</v>
      </c>
      <c r="H29" s="222">
        <f>H28*H9</f>
        <v>0</v>
      </c>
    </row>
    <row r="30" spans="1:8" ht="15.75" hidden="1" thickBot="1" x14ac:dyDescent="0.25">
      <c r="A30" s="188" t="s">
        <v>74</v>
      </c>
      <c r="B30" s="223">
        <f>IF(B23=0,0,IF(B26=0,0,B22/B23/B26*B9*10))</f>
        <v>0</v>
      </c>
      <c r="C30" s="224">
        <f>IF(B23=0,0,IF(C26=0,0,C22/B23/C26*C9*10))</f>
        <v>0</v>
      </c>
      <c r="D30" s="225" t="str">
        <f t="shared" si="2"/>
        <v/>
      </c>
      <c r="E30" s="487">
        <f>IF(E23=0,0,IF(E26=0,0,E22/E23/E26*E9*10))</f>
        <v>0</v>
      </c>
      <c r="F30" s="488">
        <f>IF(F23=0,0,IF(F26=0,0,F22/F23/F26*F9*10))</f>
        <v>0</v>
      </c>
      <c r="G30" s="488">
        <f>IF(G23=0,0,IF(G26=0,0,G22/G23/G26*G9*10))</f>
        <v>0</v>
      </c>
      <c r="H30" s="226">
        <f>IF(H23=0,0,IF(H26=0,0,H22/H23/H26*H9*10))</f>
        <v>0</v>
      </c>
    </row>
    <row r="31" spans="1:8" ht="18" x14ac:dyDescent="0.2">
      <c r="A31" s="191" t="s">
        <v>127</v>
      </c>
      <c r="B31" s="977">
        <f>SUM(E31:H31)</f>
        <v>0</v>
      </c>
      <c r="C31" s="978"/>
      <c r="D31" s="227"/>
      <c r="E31" s="489">
        <f>'G1'!AC1</f>
        <v>0</v>
      </c>
      <c r="F31" s="490">
        <f>'G2'!$AC$1</f>
        <v>0</v>
      </c>
      <c r="G31" s="490">
        <f>'G3'!$AC$1</f>
        <v>0</v>
      </c>
      <c r="H31" s="491">
        <f>'G4'!$AC$1</f>
        <v>0</v>
      </c>
    </row>
    <row r="32" spans="1:8" ht="18" x14ac:dyDescent="0.2">
      <c r="A32" s="194" t="s">
        <v>128</v>
      </c>
      <c r="B32" s="228">
        <f>IF(B31&gt;0,B4/B31,0)</f>
        <v>0</v>
      </c>
      <c r="C32" s="229">
        <f>IF(B31&gt;0,C4/B31,0)</f>
        <v>0</v>
      </c>
      <c r="D32" s="221" t="str">
        <f t="shared" si="2"/>
        <v/>
      </c>
      <c r="E32" s="492">
        <f>IF(E31&gt;0,E4/E31,0)</f>
        <v>0</v>
      </c>
      <c r="F32" s="493">
        <f>IF(F31&gt;0,F4/F31,0)</f>
        <v>0</v>
      </c>
      <c r="G32" s="493">
        <f>IF(G31&gt;0,G4/G31,0)</f>
        <v>0</v>
      </c>
      <c r="H32" s="230">
        <f>IF(H31&gt;0,H4/H31,0)</f>
        <v>0</v>
      </c>
    </row>
    <row r="33" spans="1:8" ht="18.75" thickBot="1" x14ac:dyDescent="0.25">
      <c r="A33" s="199" t="s">
        <v>129</v>
      </c>
      <c r="B33" s="231">
        <f>IF(B31&gt;0,B21/B31,0)</f>
        <v>0</v>
      </c>
      <c r="C33" s="232">
        <f>IF(B31&gt;0,C21/B31,0)</f>
        <v>0</v>
      </c>
      <c r="D33" s="233" t="str">
        <f t="shared" si="2"/>
        <v/>
      </c>
      <c r="E33" s="494">
        <f>IF(E31&gt;0,E21/E31,0)</f>
        <v>0</v>
      </c>
      <c r="F33" s="495">
        <f>IF(F31&gt;0,F21/F31,0)</f>
        <v>0</v>
      </c>
      <c r="G33" s="495">
        <f>IF(G31&gt;0,G21/G31,0)</f>
        <v>0</v>
      </c>
      <c r="H33" s="234">
        <f>IF(H31&gt;0,H21/H31,0)</f>
        <v>0</v>
      </c>
    </row>
    <row r="34" spans="1:8" ht="15" x14ac:dyDescent="0.2">
      <c r="B34" s="57"/>
      <c r="C34" s="57"/>
    </row>
    <row r="35" spans="1:8" x14ac:dyDescent="0.2"/>
  </sheetData>
  <sheetProtection algorithmName="SHA-512" hashValue="WLOOHjUM8WStsG5uaoRevFTgrl1tQ8+TY94idxl8vZllpRxq1rBboFwwT4w4knLeFuEwDXnJZ7lBs5gV0lPEjg==" saltValue="qnOmBJGcIazNOXl8fNegtQ==" spinCount="100000" sheet="1" formatCells="0" formatColumns="0" formatRows="0" autoFilter="0" pivotTables="0"/>
  <autoFilter ref="A2:A33" xr:uid="{00000000-0009-0000-0000-000006000000}"/>
  <mergeCells count="3">
    <mergeCell ref="B1:D1"/>
    <mergeCell ref="B23:C23"/>
    <mergeCell ref="B31:C31"/>
  </mergeCells>
  <conditionalFormatting sqref="B7:B8">
    <cfRule type="cellIs" dxfId="4" priority="2" operator="greaterThan">
      <formula>$C7</formula>
    </cfRule>
  </conditionalFormatting>
  <conditionalFormatting sqref="B9">
    <cfRule type="cellIs" dxfId="3" priority="1" operator="lessThan">
      <formula>$C$9</formula>
    </cfRule>
  </conditionalFormatting>
  <hyperlinks>
    <hyperlink ref="B1" r:id="rId1" display="http://www.sanmarino.com.co/" xr:uid="{00000000-0004-0000-0600-000000000000}"/>
    <hyperlink ref="B1:D1" r:id="rId2" display="Toda la información en nuestra página web" xr:uid="{00000000-0004-0000-0600-000001000000}"/>
  </hyperlinks>
  <pageMargins left="0.7" right="0.7" top="0.75" bottom="0.75" header="0.3" footer="0.3"/>
  <pageSetup orientation="portrait" horizontalDpi="4294967293" verticalDpi="0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/>
  <dimension ref="A1:U37"/>
  <sheetViews>
    <sheetView showGridLines="0" showRowColHeaders="0" showZeros="0" zoomScale="90" zoomScaleNormal="90" workbookViewId="0">
      <pane xSplit="7" ySplit="4" topLeftCell="H5" activePane="bottomRight" state="frozen"/>
      <selection activeCell="C7" sqref="C7"/>
      <selection pane="topRight" activeCell="C7" sqref="C7"/>
      <selection pane="bottomLeft" activeCell="C7" sqref="C7"/>
      <selection pane="bottomRight" activeCell="B9" sqref="B9"/>
    </sheetView>
  </sheetViews>
  <sheetFormatPr baseColWidth="10" defaultColWidth="0" defaultRowHeight="12.75" zeroHeight="1" x14ac:dyDescent="0.2"/>
  <cols>
    <col min="1" max="1" width="44.83203125" style="58" bestFit="1" customWidth="1"/>
    <col min="2" max="2" width="17.6640625" style="58" bestFit="1" customWidth="1"/>
    <col min="3" max="3" width="14.33203125" style="58" customWidth="1"/>
    <col min="4" max="4" width="11.33203125" style="58" customWidth="1"/>
    <col min="5" max="6" width="13.83203125" style="58" bestFit="1" customWidth="1"/>
    <col min="7" max="7" width="8.83203125" style="58" customWidth="1"/>
    <col min="8" max="8" width="16.6640625" style="58" bestFit="1" customWidth="1"/>
    <col min="9" max="9" width="14" style="58" bestFit="1" customWidth="1"/>
    <col min="10" max="10" width="14.1640625" style="58" bestFit="1" customWidth="1"/>
    <col min="11" max="11" width="16.6640625" style="58" bestFit="1" customWidth="1"/>
    <col min="12" max="12" width="13.83203125" style="58" bestFit="1" customWidth="1"/>
    <col min="13" max="13" width="14.1640625" style="58" bestFit="1" customWidth="1"/>
    <col min="14" max="14" width="16.6640625" style="58" customWidth="1"/>
    <col min="15" max="15" width="13.83203125" style="58" customWidth="1"/>
    <col min="16" max="16" width="14.1640625" style="58" customWidth="1"/>
    <col min="17" max="17" width="16.6640625" style="58" customWidth="1"/>
    <col min="18" max="18" width="13.83203125" style="58" customWidth="1"/>
    <col min="19" max="19" width="14.1640625" style="58" customWidth="1"/>
    <col min="20" max="21" width="11" style="58" customWidth="1"/>
    <col min="22" max="16384" width="11" style="58" hidden="1"/>
  </cols>
  <sheetData>
    <row r="1" spans="1:21" ht="9" customHeight="1" thickBot="1" x14ac:dyDescent="0.25">
      <c r="A1" s="983"/>
    </row>
    <row r="2" spans="1:21" s="60" customFormat="1" ht="21" customHeight="1" x14ac:dyDescent="0.2">
      <c r="A2" s="983"/>
      <c r="B2" s="982" t="s">
        <v>136</v>
      </c>
      <c r="C2" s="980"/>
      <c r="D2" s="980"/>
      <c r="E2" s="980"/>
      <c r="F2" s="980"/>
      <c r="G2" s="981"/>
      <c r="H2" s="979" t="str">
        <f>CONCATENATE("G",'G1'!$J$4)</f>
        <v>G1</v>
      </c>
      <c r="I2" s="980"/>
      <c r="J2" s="981"/>
      <c r="K2" s="979" t="str">
        <f>CONCATENATE("G",'G2'!$J$4)</f>
        <v>G2</v>
      </c>
      <c r="L2" s="980"/>
      <c r="M2" s="981"/>
      <c r="N2" s="979" t="str">
        <f>CONCATENATE("G",'G3'!$J$4)</f>
        <v>G3</v>
      </c>
      <c r="O2" s="980"/>
      <c r="P2" s="981"/>
      <c r="Q2" s="979" t="str">
        <f>CONCATENATE("G",'G4'!$J$4)</f>
        <v>G4</v>
      </c>
      <c r="R2" s="980"/>
      <c r="S2" s="981"/>
      <c r="T2" s="59"/>
      <c r="U2" s="59"/>
    </row>
    <row r="3" spans="1:21" ht="16.5" thickBot="1" x14ac:dyDescent="0.3">
      <c r="A3" s="984"/>
      <c r="B3" s="116">
        <f t="shared" ref="B3:L3" si="0">SUBTOTAL(9,B8:B31)</f>
        <v>0</v>
      </c>
      <c r="C3" s="61">
        <f t="shared" si="0"/>
        <v>0</v>
      </c>
      <c r="D3" s="92">
        <f t="shared" si="0"/>
        <v>0</v>
      </c>
      <c r="E3" s="133">
        <f t="shared" si="0"/>
        <v>0</v>
      </c>
      <c r="F3" s="61">
        <f t="shared" si="0"/>
        <v>0</v>
      </c>
      <c r="G3" s="123" t="str">
        <f>IF(AND(E3&gt;0,F3&gt;0),(E3-F3)/F3*100,"")</f>
        <v/>
      </c>
      <c r="H3" s="98">
        <f t="shared" si="0"/>
        <v>0</v>
      </c>
      <c r="I3" s="61">
        <f t="shared" si="0"/>
        <v>0</v>
      </c>
      <c r="J3" s="99">
        <f t="shared" si="0"/>
        <v>0</v>
      </c>
      <c r="K3" s="98">
        <f t="shared" si="0"/>
        <v>0</v>
      </c>
      <c r="L3" s="61">
        <f t="shared" si="0"/>
        <v>0</v>
      </c>
      <c r="M3" s="99">
        <f t="shared" ref="M3:S3" si="1">SUBTOTAL(9,M8:M31)</f>
        <v>0</v>
      </c>
      <c r="N3" s="98">
        <f t="shared" si="1"/>
        <v>0</v>
      </c>
      <c r="O3" s="61">
        <f t="shared" si="1"/>
        <v>0</v>
      </c>
      <c r="P3" s="99">
        <f t="shared" si="1"/>
        <v>0</v>
      </c>
      <c r="Q3" s="98">
        <f t="shared" si="1"/>
        <v>0</v>
      </c>
      <c r="R3" s="61">
        <f t="shared" si="1"/>
        <v>0</v>
      </c>
      <c r="S3" s="99">
        <f t="shared" si="1"/>
        <v>0</v>
      </c>
      <c r="T3" s="62"/>
      <c r="U3" s="62"/>
    </row>
    <row r="4" spans="1:21" s="60" customFormat="1" ht="33.75" customHeight="1" thickTop="1" x14ac:dyDescent="0.2">
      <c r="A4" s="87" t="str">
        <f>CONCATENATE("ITEM Lote ",'G1'!H4)</f>
        <v xml:space="preserve">ITEM Lote </v>
      </c>
      <c r="B4" s="117" t="s">
        <v>111</v>
      </c>
      <c r="C4" s="89" t="s">
        <v>137</v>
      </c>
      <c r="D4" s="88" t="s">
        <v>112</v>
      </c>
      <c r="E4" s="134" t="s">
        <v>138</v>
      </c>
      <c r="F4" s="89" t="s">
        <v>139</v>
      </c>
      <c r="G4" s="101" t="s">
        <v>14</v>
      </c>
      <c r="H4" s="100" t="str">
        <f>$B$4</f>
        <v>Egresos</v>
      </c>
      <c r="I4" s="89" t="str">
        <f>CONCATENATE("$ Ave en pie ",H2)</f>
        <v>$ Ave en pie G1</v>
      </c>
      <c r="J4" s="101" t="str">
        <f>CONCATENATE("$ Kg en pie ",H2)</f>
        <v>$ Kg en pie G1</v>
      </c>
      <c r="K4" s="100" t="str">
        <f>$B$4</f>
        <v>Egresos</v>
      </c>
      <c r="L4" s="89" t="str">
        <f>CONCATENATE("$ Ave en pie ",K2)</f>
        <v>$ Ave en pie G2</v>
      </c>
      <c r="M4" s="101" t="str">
        <f>CONCATENATE("$ Kg en pie ",K2)</f>
        <v>$ Kg en pie G2</v>
      </c>
      <c r="N4" s="100" t="str">
        <f>$B$4</f>
        <v>Egresos</v>
      </c>
      <c r="O4" s="89" t="str">
        <f>CONCATENATE("$ Ave en pie ",N2)</f>
        <v>$ Ave en pie G3</v>
      </c>
      <c r="P4" s="101" t="str">
        <f>CONCATENATE("$ Kg en pie ",N2)</f>
        <v>$ Kg en pie G3</v>
      </c>
      <c r="Q4" s="100" t="str">
        <f>$B$4</f>
        <v>Egresos</v>
      </c>
      <c r="R4" s="89" t="str">
        <f>CONCATENATE("$ Ave en pie ",Q2)</f>
        <v>$ Ave en pie G4</v>
      </c>
      <c r="S4" s="101" t="str">
        <f>CONCATENATE("$ Kg en pie ",Q2)</f>
        <v>$ Kg en pie G4</v>
      </c>
      <c r="T4" s="59"/>
      <c r="U4" s="59"/>
    </row>
    <row r="5" spans="1:21" ht="15.75" x14ac:dyDescent="0.25">
      <c r="A5" s="235" t="s">
        <v>80</v>
      </c>
      <c r="B5" s="118">
        <f>'Liq-Zoot'!B11*'Liq-Zoot'!B12</f>
        <v>0</v>
      </c>
      <c r="C5" s="63">
        <f>IF('Liq-Zoot'!$B$4&gt;0,B5/'Liq-Zoot'!$B$4,0)</f>
        <v>0</v>
      </c>
      <c r="D5" s="93">
        <f>IF(E$3&gt;0,E5/E$3,0)</f>
        <v>0</v>
      </c>
      <c r="E5" s="135">
        <f>IF('Liq-Zoot'!$B$21&gt;0,B5/'Liq-Zoot'!$B$21,0)</f>
        <v>0</v>
      </c>
      <c r="F5" s="63">
        <f>IF('Liq-Zoot'!$C$21&gt;0,'Liq-Zoot'!C12*'Liq-Zoot'!C11/'Liq-Zoot'!$C$21,0)</f>
        <v>0</v>
      </c>
      <c r="G5" s="246" t="str">
        <f t="shared" ref="G5:G31" si="2">IF(AND(E5&gt;0,F5&gt;0),(E5-F5)/F5*100,"")</f>
        <v/>
      </c>
      <c r="H5" s="102">
        <f>'Liq-Zoot'!$E$11*'Liq-Zoot'!$E$12</f>
        <v>0</v>
      </c>
      <c r="I5" s="63">
        <f>IF('Liq-Zoot'!$E$4&gt;0,H5/'Liq-Zoot'!$E$4,0)</f>
        <v>0</v>
      </c>
      <c r="J5" s="103">
        <f>IF('Liq-Zoot'!$E$21&gt;0,H5/'Liq-Zoot'!$E$21,0)</f>
        <v>0</v>
      </c>
      <c r="K5" s="102">
        <f>'Liq-Zoot'!$F$11*'Liq-Zoot'!$F$12</f>
        <v>0</v>
      </c>
      <c r="L5" s="63">
        <f>IF('Liq-Zoot'!$F$4&gt;0,K5/'Liq-Zoot'!$F$4,0)</f>
        <v>0</v>
      </c>
      <c r="M5" s="103">
        <f>IF('Liq-Zoot'!$F$21&gt;0,K5/'Liq-Zoot'!$F$21,0)</f>
        <v>0</v>
      </c>
      <c r="N5" s="102">
        <f>'Liq-Zoot'!$G$11*'Liq-Zoot'!$G$12</f>
        <v>0</v>
      </c>
      <c r="O5" s="63">
        <f>IF('Liq-Zoot'!$G$4&gt;0,N5/'Liq-Zoot'!$G$4,0)</f>
        <v>0</v>
      </c>
      <c r="P5" s="103">
        <f>IF('Liq-Zoot'!$G$21&gt;0,N5/'Liq-Zoot'!$G$21,0)</f>
        <v>0</v>
      </c>
      <c r="Q5" s="102">
        <f>'Liq-Zoot'!$H$11*'Liq-Zoot'!$H$12</f>
        <v>0</v>
      </c>
      <c r="R5" s="63">
        <f>IF('Liq-Zoot'!$H$4&gt;0,Q5/'Liq-Zoot'!$H$4,0)</f>
        <v>0</v>
      </c>
      <c r="S5" s="103">
        <f>IF('Liq-Zoot'!$H$21&gt;0,Q5/'Liq-Zoot'!$H$21,0)</f>
        <v>0</v>
      </c>
      <c r="T5" s="62"/>
      <c r="U5" s="62"/>
    </row>
    <row r="6" spans="1:21" ht="15.75" x14ac:dyDescent="0.25">
      <c r="A6" s="236" t="s">
        <v>81</v>
      </c>
      <c r="B6" s="119">
        <f>'Liq-Zoot'!B13*'Liq-Zoot'!B14</f>
        <v>0</v>
      </c>
      <c r="C6" s="90">
        <f>IF('Liq-Zoot'!$B$4&gt;0,B6/'Liq-Zoot'!$B$4,0)</f>
        <v>0</v>
      </c>
      <c r="D6" s="94">
        <f>IF(E$3&gt;0,E6/E$3,0)</f>
        <v>0</v>
      </c>
      <c r="E6" s="136">
        <f>IF('Liq-Zoot'!$B$21&gt;0,B6/'Liq-Zoot'!$B$21,0)</f>
        <v>0</v>
      </c>
      <c r="F6" s="90">
        <f>IF('Liq-Zoot'!$C$21&gt;0,'Liq-Zoot'!C13*'Liq-Zoot'!C14/'Liq-Zoot'!$C$21,0)</f>
        <v>0</v>
      </c>
      <c r="G6" s="247" t="str">
        <f t="shared" si="2"/>
        <v/>
      </c>
      <c r="H6" s="104">
        <f>'Liq-Zoot'!$E$13*'Liq-Zoot'!$E$14</f>
        <v>0</v>
      </c>
      <c r="I6" s="90">
        <f>IF('Liq-Zoot'!$E$4&gt;0,H6/'Liq-Zoot'!$E$4,0)</f>
        <v>0</v>
      </c>
      <c r="J6" s="105">
        <f>IF('Liq-Zoot'!$E$21&gt;0,H6/'Liq-Zoot'!$E$21,0)</f>
        <v>0</v>
      </c>
      <c r="K6" s="104">
        <f>'Liq-Zoot'!$F$13*'Liq-Zoot'!$F$14</f>
        <v>0</v>
      </c>
      <c r="L6" s="90">
        <f>IF('Liq-Zoot'!$F$4&gt;0,K6/'Liq-Zoot'!$F$4,0)</f>
        <v>0</v>
      </c>
      <c r="M6" s="105">
        <f>IF('Liq-Zoot'!$F$21&gt;0,K6/'Liq-Zoot'!$F$21,0)</f>
        <v>0</v>
      </c>
      <c r="N6" s="104">
        <f>'Liq-Zoot'!$G$13*'Liq-Zoot'!$G$14</f>
        <v>0</v>
      </c>
      <c r="O6" s="90">
        <f>IF('Liq-Zoot'!$G$4&gt;0,N6/'Liq-Zoot'!$G$4,0)</f>
        <v>0</v>
      </c>
      <c r="P6" s="105">
        <f>IF('Liq-Zoot'!$G$21&gt;0,N6/'Liq-Zoot'!$G$21,0)</f>
        <v>0</v>
      </c>
      <c r="Q6" s="104">
        <f>'Liq-Zoot'!$H$13*'Liq-Zoot'!$H$14</f>
        <v>0</v>
      </c>
      <c r="R6" s="90">
        <f>IF('Liq-Zoot'!$H$4&gt;0,Q6/'Liq-Zoot'!$H$4,0)</f>
        <v>0</v>
      </c>
      <c r="S6" s="105">
        <f>IF('Liq-Zoot'!$H$21&gt;0,Q6/'Liq-Zoot'!$H$21,0)</f>
        <v>0</v>
      </c>
      <c r="T6" s="62"/>
      <c r="U6" s="62"/>
    </row>
    <row r="7" spans="1:21" ht="16.5" thickBot="1" x14ac:dyDescent="0.3">
      <c r="A7" s="237" t="s">
        <v>82</v>
      </c>
      <c r="B7" s="120">
        <f>'Liq-Zoot'!B15*'Liq-Zoot'!B16</f>
        <v>0</v>
      </c>
      <c r="C7" s="64">
        <f>IF('Liq-Zoot'!$B$4&gt;0,B7/'Liq-Zoot'!$B$4,0)</f>
        <v>0</v>
      </c>
      <c r="D7" s="95">
        <f>IF(E$3&gt;0,E7/E$3,0)</f>
        <v>0</v>
      </c>
      <c r="E7" s="137">
        <f>IF('Liq-Zoot'!$B$21&gt;0,B7/'Liq-Zoot'!$B$21,0)</f>
        <v>0</v>
      </c>
      <c r="F7" s="64">
        <f>IF('Liq-Zoot'!$C$21&gt;0,'Liq-Zoot'!C16*'Liq-Zoot'!C15/'Liq-Zoot'!$C$21,0)</f>
        <v>0</v>
      </c>
      <c r="G7" s="248" t="str">
        <f t="shared" si="2"/>
        <v/>
      </c>
      <c r="H7" s="106">
        <f>'Liq-Zoot'!$E$15*'Liq-Zoot'!$E$16</f>
        <v>0</v>
      </c>
      <c r="I7" s="64">
        <f>IF('Liq-Zoot'!$E$4&gt;0,H7/'Liq-Zoot'!$E$4,0)</f>
        <v>0</v>
      </c>
      <c r="J7" s="107">
        <f>IF('Liq-Zoot'!$E$21&gt;0,H7/'Liq-Zoot'!$E$21,0)</f>
        <v>0</v>
      </c>
      <c r="K7" s="106">
        <f>'Liq-Zoot'!$F$15*'Liq-Zoot'!$F$16</f>
        <v>0</v>
      </c>
      <c r="L7" s="64">
        <f>IF('Liq-Zoot'!$F$4&gt;0,K7/'Liq-Zoot'!$F$4,0)</f>
        <v>0</v>
      </c>
      <c r="M7" s="107">
        <f>IF('Liq-Zoot'!$F$21&gt;0,K7/'Liq-Zoot'!$F$21,0)</f>
        <v>0</v>
      </c>
      <c r="N7" s="106">
        <f>'Liq-Zoot'!$G$15*'Liq-Zoot'!$G$16</f>
        <v>0</v>
      </c>
      <c r="O7" s="64">
        <f>IF('Liq-Zoot'!$G$4&gt;0,N7/'Liq-Zoot'!$G$4,0)</f>
        <v>0</v>
      </c>
      <c r="P7" s="107">
        <f>IF('Liq-Zoot'!$G$21&gt;0,N7/'Liq-Zoot'!$G$21,0)</f>
        <v>0</v>
      </c>
      <c r="Q7" s="106">
        <f>'Liq-Zoot'!$H$15*'Liq-Zoot'!$H$16</f>
        <v>0</v>
      </c>
      <c r="R7" s="64">
        <f>IF('Liq-Zoot'!$H$4&gt;0,Q7/'Liq-Zoot'!$H$4,0)</f>
        <v>0</v>
      </c>
      <c r="S7" s="107">
        <f>IF('Liq-Zoot'!$H$21&gt;0,Q7/'Liq-Zoot'!$H$21,0)</f>
        <v>0</v>
      </c>
      <c r="T7" s="62"/>
      <c r="U7" s="62"/>
    </row>
    <row r="8" spans="1:21" ht="17.25" thickTop="1" thickBot="1" x14ac:dyDescent="0.3">
      <c r="A8" s="238" t="s">
        <v>79</v>
      </c>
      <c r="B8" s="239">
        <f t="shared" ref="B8:M8" si="3">SUM(B5:B7)</f>
        <v>0</v>
      </c>
      <c r="C8" s="240">
        <f t="shared" si="3"/>
        <v>0</v>
      </c>
      <c r="D8" s="241">
        <f>SUM(D5:D7)</f>
        <v>0</v>
      </c>
      <c r="E8" s="242">
        <f t="shared" si="3"/>
        <v>0</v>
      </c>
      <c r="F8" s="240">
        <f>SUM(F5:F7)</f>
        <v>0</v>
      </c>
      <c r="G8" s="243" t="str">
        <f t="shared" si="2"/>
        <v/>
      </c>
      <c r="H8" s="244">
        <f t="shared" si="3"/>
        <v>0</v>
      </c>
      <c r="I8" s="240">
        <f t="shared" si="3"/>
        <v>0</v>
      </c>
      <c r="J8" s="245">
        <f t="shared" si="3"/>
        <v>0</v>
      </c>
      <c r="K8" s="244">
        <f>SUM(K5:K7)</f>
        <v>0</v>
      </c>
      <c r="L8" s="240">
        <f t="shared" si="3"/>
        <v>0</v>
      </c>
      <c r="M8" s="245">
        <f t="shared" si="3"/>
        <v>0</v>
      </c>
      <c r="N8" s="244">
        <f t="shared" ref="N8:S8" si="4">SUM(N5:N7)</f>
        <v>0</v>
      </c>
      <c r="O8" s="240">
        <f t="shared" si="4"/>
        <v>0</v>
      </c>
      <c r="P8" s="245">
        <f t="shared" si="4"/>
        <v>0</v>
      </c>
      <c r="Q8" s="244">
        <f t="shared" si="4"/>
        <v>0</v>
      </c>
      <c r="R8" s="240">
        <f t="shared" si="4"/>
        <v>0</v>
      </c>
      <c r="S8" s="245">
        <f t="shared" si="4"/>
        <v>0</v>
      </c>
      <c r="T8" s="62"/>
      <c r="U8" s="62"/>
    </row>
    <row r="9" spans="1:21" ht="15.75" x14ac:dyDescent="0.25">
      <c r="A9" s="69" t="s">
        <v>95</v>
      </c>
      <c r="B9" s="131"/>
      <c r="C9" s="63">
        <f>IF('Liq-Zoot'!$B$4&gt;0,B9/'Liq-Zoot'!$B$4,0)</f>
        <v>0</v>
      </c>
      <c r="D9" s="93">
        <f t="shared" ref="D9:D28" si="5">IF(E$3&gt;0,E9/E$3,0)</f>
        <v>0</v>
      </c>
      <c r="E9" s="135">
        <f>IF('Liq-Zoot'!$B$21&gt;0,B9/'Liq-Zoot'!$B$21,0)</f>
        <v>0</v>
      </c>
      <c r="F9" s="63">
        <f>IF(AND('Liq-Zoot'!$B$3&gt;0,'Liq-Zoot'!$C$22&gt;0),B9/'Liq-Zoot'!$B$3/1.02/'Liq-Zoot'!$C$22*1000,0)</f>
        <v>0</v>
      </c>
      <c r="G9" s="246" t="str">
        <f>IF(AND(E9&gt;0,F9&gt;0),(E9-F9)/F9*100,"")</f>
        <v/>
      </c>
      <c r="H9" s="102">
        <f>IF(Con!$M$3&gt;0,$B9/Con!$M$3*'G1'!$M$3,0)</f>
        <v>0</v>
      </c>
      <c r="I9" s="63">
        <f>IF('Liq-Zoot'!$E$4&gt;0,H9/'Liq-Zoot'!$E$4,0)</f>
        <v>0</v>
      </c>
      <c r="J9" s="103">
        <f>IF('Liq-Zoot'!$E$21&gt;0,H9/'Liq-Zoot'!$E$21,0)</f>
        <v>0</v>
      </c>
      <c r="K9" s="102">
        <f>IF(Con!$M$3&gt;0,$B9/Con!$M$3*'G2'!$M$3,0)</f>
        <v>0</v>
      </c>
      <c r="L9" s="63">
        <f>IF('Liq-Zoot'!$F$4&gt;0,K9/'Liq-Zoot'!$F$4,0)</f>
        <v>0</v>
      </c>
      <c r="M9" s="103">
        <f>IF('Liq-Zoot'!$F$21&gt;0,K9/'Liq-Zoot'!$F$21,0)</f>
        <v>0</v>
      </c>
      <c r="N9" s="102">
        <f>IF(Con!$M$3&gt;0,$B9/Con!$M$3*'G3'!$M$3,0)</f>
        <v>0</v>
      </c>
      <c r="O9" s="63">
        <f>IF('Liq-Zoot'!$G$4&gt;0,N9/'Liq-Zoot'!$G$4,0)</f>
        <v>0</v>
      </c>
      <c r="P9" s="103">
        <f>IF('Liq-Zoot'!$G$21&gt;0,N9/'Liq-Zoot'!$G$21,0)</f>
        <v>0</v>
      </c>
      <c r="Q9" s="102">
        <f>IF(Con!$M$3&gt;0,$B9/Con!$M$3*'G4'!$M$3,0)</f>
        <v>0</v>
      </c>
      <c r="R9" s="63">
        <f>IF('Liq-Zoot'!$H$4&gt;0,Q9/'Liq-Zoot'!$H$4,0)</f>
        <v>0</v>
      </c>
      <c r="S9" s="103">
        <f>IF('Liq-Zoot'!$H$21&gt;0,Q9/'Liq-Zoot'!$H$21,0)</f>
        <v>0</v>
      </c>
      <c r="T9" s="62"/>
      <c r="U9" s="62"/>
    </row>
    <row r="10" spans="1:21" ht="15.75" x14ac:dyDescent="0.25">
      <c r="A10" s="67" t="s">
        <v>104</v>
      </c>
      <c r="B10" s="129"/>
      <c r="C10" s="90">
        <f>IF('Liq-Zoot'!$B$4&gt;0,B10/'Liq-Zoot'!$B$4,0)</f>
        <v>0</v>
      </c>
      <c r="D10" s="94">
        <f t="shared" si="5"/>
        <v>0</v>
      </c>
      <c r="E10" s="136">
        <f>IF('Liq-Zoot'!$B$21&gt;0,B10/'Liq-Zoot'!$B$21,0)</f>
        <v>0</v>
      </c>
      <c r="F10" s="124"/>
      <c r="G10" s="247" t="str">
        <f>IF(AND(E10&gt;0,F10&gt;0),(E10-F10)/F10*100,"")</f>
        <v/>
      </c>
      <c r="H10" s="104">
        <f>IF(Con!$M$3&gt;0,$B10/Con!$M$3*'G1'!$M$3,0)</f>
        <v>0</v>
      </c>
      <c r="I10" s="90">
        <f>IF('Liq-Zoot'!$E$4&gt;0,H10/'Liq-Zoot'!$E$4,0)</f>
        <v>0</v>
      </c>
      <c r="J10" s="105">
        <f>IF('Liq-Zoot'!$E$21&gt;0,H10/'Liq-Zoot'!$E$21,0)</f>
        <v>0</v>
      </c>
      <c r="K10" s="104">
        <f>IF(Con!$M$3&gt;0,$B10/Con!$M$3*'G2'!$M$3,0)</f>
        <v>0</v>
      </c>
      <c r="L10" s="90">
        <f>IF('Liq-Zoot'!$F$4&gt;0,K10/'Liq-Zoot'!$F$4,0)</f>
        <v>0</v>
      </c>
      <c r="M10" s="105">
        <f>IF('Liq-Zoot'!$F$21&gt;0,K10/'Liq-Zoot'!$F$21,0)</f>
        <v>0</v>
      </c>
      <c r="N10" s="104">
        <f>IF(Con!$M$3&gt;0,$B10/Con!$M$3*'G3'!$M$3,0)</f>
        <v>0</v>
      </c>
      <c r="O10" s="90">
        <f>IF('Liq-Zoot'!$G$4&gt;0,N10/'Liq-Zoot'!$G$4,0)</f>
        <v>0</v>
      </c>
      <c r="P10" s="105">
        <f>IF('Liq-Zoot'!$G$21&gt;0,N10/'Liq-Zoot'!$G$21,0)</f>
        <v>0</v>
      </c>
      <c r="Q10" s="104">
        <f>IF(Con!$M$3&gt;0,$B10/Con!$M$3*'G4'!$M$3,0)</f>
        <v>0</v>
      </c>
      <c r="R10" s="90">
        <f>IF('Liq-Zoot'!$H$4&gt;0,Q10/'Liq-Zoot'!$H$4,0)</f>
        <v>0</v>
      </c>
      <c r="S10" s="105">
        <f>IF('Liq-Zoot'!$H$21&gt;0,Q10/'Liq-Zoot'!$H$21,0)</f>
        <v>0</v>
      </c>
      <c r="T10" s="62"/>
      <c r="U10" s="62"/>
    </row>
    <row r="11" spans="1:21" ht="15.75" x14ac:dyDescent="0.25">
      <c r="A11" s="67" t="s">
        <v>93</v>
      </c>
      <c r="B11" s="119">
        <f>SUMIF($H$4:$S$4,$B$4,$H11:$S11)</f>
        <v>0</v>
      </c>
      <c r="C11" s="90">
        <f>IF('Liq-Zoot'!$B$4&gt;0,B11/'Liq-Zoot'!$B$4,0)</f>
        <v>0</v>
      </c>
      <c r="D11" s="94">
        <f t="shared" si="5"/>
        <v>0</v>
      </c>
      <c r="E11" s="136">
        <f>IF('Liq-Zoot'!$B$21&gt;0,B11/'Liq-Zoot'!$B$21,0)</f>
        <v>0</v>
      </c>
      <c r="F11" s="126"/>
      <c r="G11" s="247" t="str">
        <f>IF(AND(E11&gt;0,F11&gt;0),(E11-F11)/F11*100,"")</f>
        <v/>
      </c>
      <c r="H11" s="498"/>
      <c r="I11" s="90">
        <f>IF('Liq-Zoot'!$E$4&gt;0,H11/'Liq-Zoot'!$E$4,0)</f>
        <v>0</v>
      </c>
      <c r="J11" s="105">
        <f>IF('Liq-Zoot'!$E$21&gt;0,H11/'Liq-Zoot'!$E$21,0)</f>
        <v>0</v>
      </c>
      <c r="K11" s="498"/>
      <c r="L11" s="90">
        <f>IF('Liq-Zoot'!$F$4&gt;0,K11/'Liq-Zoot'!$F$4,0)</f>
        <v>0</v>
      </c>
      <c r="M11" s="105">
        <f>IF('Liq-Zoot'!$F$21&gt;0,K11/'Liq-Zoot'!$F$21,0)</f>
        <v>0</v>
      </c>
      <c r="N11" s="498"/>
      <c r="O11" s="90">
        <f>IF('Liq-Zoot'!$G$4&gt;0,N11/'Liq-Zoot'!$G$4,0)</f>
        <v>0</v>
      </c>
      <c r="P11" s="105">
        <f>IF('Liq-Zoot'!$G$21&gt;0,N11/'Liq-Zoot'!$G$21,0)</f>
        <v>0</v>
      </c>
      <c r="Q11" s="498"/>
      <c r="R11" s="90">
        <f>IF('Liq-Zoot'!$H$4&gt;0,Q11/'Liq-Zoot'!$H$4,0)</f>
        <v>0</v>
      </c>
      <c r="S11" s="105">
        <f>IF('Liq-Zoot'!$H$21&gt;0,Q11/'Liq-Zoot'!$H$21,0)</f>
        <v>0</v>
      </c>
      <c r="T11" s="62"/>
      <c r="U11" s="62"/>
    </row>
    <row r="12" spans="1:21" ht="15.75" x14ac:dyDescent="0.25">
      <c r="A12" s="67" t="s">
        <v>94</v>
      </c>
      <c r="B12" s="129"/>
      <c r="C12" s="90">
        <f>IF('Liq-Zoot'!$B$4&gt;0,B12/'Liq-Zoot'!$B$4,0)</f>
        <v>0</v>
      </c>
      <c r="D12" s="94">
        <f t="shared" si="5"/>
        <v>0</v>
      </c>
      <c r="E12" s="136">
        <f>IF('Liq-Zoot'!$B$21&gt;0,B12/'Liq-Zoot'!$B$21,0)</f>
        <v>0</v>
      </c>
      <c r="F12" s="126"/>
      <c r="G12" s="247" t="str">
        <f>IF(AND(E12&gt;0,F12&gt;0),(E12-F12)/F12*100,"")</f>
        <v/>
      </c>
      <c r="H12" s="104">
        <f>IF(Con!$M$3&gt;0,$B12/Con!$M$3*'G1'!$M$3,0)</f>
        <v>0</v>
      </c>
      <c r="I12" s="90">
        <f>IF('Liq-Zoot'!$E$4&gt;0,H12/'Liq-Zoot'!$E$4,0)</f>
        <v>0</v>
      </c>
      <c r="J12" s="105">
        <f>IF('Liq-Zoot'!$E$21&gt;0,H12/'Liq-Zoot'!$E$21,0)</f>
        <v>0</v>
      </c>
      <c r="K12" s="104">
        <f>IF(Con!$M$3&gt;0,$B12/Con!$M$3*'G2'!$M$3,0)</f>
        <v>0</v>
      </c>
      <c r="L12" s="90">
        <f>IF('Liq-Zoot'!$F$4&gt;0,K12/'Liq-Zoot'!$F$4,0)</f>
        <v>0</v>
      </c>
      <c r="M12" s="105">
        <f>IF('Liq-Zoot'!$F$21&gt;0,K12/'Liq-Zoot'!$F$21,0)</f>
        <v>0</v>
      </c>
      <c r="N12" s="104">
        <f>IF(Con!$M$3&gt;0,$B12/Con!$M$3*'G3'!$M$3,0)</f>
        <v>0</v>
      </c>
      <c r="O12" s="90">
        <f>IF('Liq-Zoot'!$G$4&gt;0,N12/'Liq-Zoot'!$G$4,0)</f>
        <v>0</v>
      </c>
      <c r="P12" s="105">
        <f>IF('Liq-Zoot'!$G$21&gt;0,N12/'Liq-Zoot'!$G$21,0)</f>
        <v>0</v>
      </c>
      <c r="Q12" s="104">
        <f>IF(Con!$M$3&gt;0,$B12/Con!$M$3*'G4'!$M$3,0)</f>
        <v>0</v>
      </c>
      <c r="R12" s="90">
        <f>IF('Liq-Zoot'!$H$4&gt;0,Q12/'Liq-Zoot'!$H$4,0)</f>
        <v>0</v>
      </c>
      <c r="S12" s="105">
        <f>IF('Liq-Zoot'!$H$21&gt;0,Q12/'Liq-Zoot'!$H$21,0)</f>
        <v>0</v>
      </c>
      <c r="T12" s="62"/>
      <c r="U12" s="62"/>
    </row>
    <row r="13" spans="1:21" ht="15.75" x14ac:dyDescent="0.25">
      <c r="A13" s="70" t="s">
        <v>83</v>
      </c>
      <c r="B13" s="121">
        <f>SUMIF($H$4:$S$4,$B$4,$H13:$S13)</f>
        <v>0</v>
      </c>
      <c r="C13" s="65">
        <f>IF('Liq-Zoot'!$B$4&gt;0,B13/'Liq-Zoot'!$B$4,0)</f>
        <v>0</v>
      </c>
      <c r="D13" s="96">
        <f t="shared" si="5"/>
        <v>0</v>
      </c>
      <c r="E13" s="138">
        <f>IF('Liq-Zoot'!$B$21&gt;0,B13/'Liq-Zoot'!$B$21,0)</f>
        <v>0</v>
      </c>
      <c r="F13" s="127"/>
      <c r="G13" s="249" t="str">
        <f>IF(AND(F13&gt;0),(E13-F13)/F13*100,"")</f>
        <v/>
      </c>
      <c r="H13" s="499"/>
      <c r="I13" s="65">
        <f>IF('Liq-Zoot'!$E$4&gt;0,H13/'Liq-Zoot'!$E$4,0)</f>
        <v>0</v>
      </c>
      <c r="J13" s="109">
        <f>IF('Liq-Zoot'!$E$21&gt;0,H13/'Liq-Zoot'!$E$21,0)</f>
        <v>0</v>
      </c>
      <c r="K13" s="499"/>
      <c r="L13" s="65">
        <f>IF('Liq-Zoot'!$F$4&gt;0,K13/'Liq-Zoot'!$F$4,0)</f>
        <v>0</v>
      </c>
      <c r="M13" s="109">
        <f>IF('Liq-Zoot'!$F$21&gt;0,K13/'Liq-Zoot'!$F$21,0)</f>
        <v>0</v>
      </c>
      <c r="N13" s="499"/>
      <c r="O13" s="65">
        <f>IF('Liq-Zoot'!$G$4&gt;0,N13/'Liq-Zoot'!$G$4,0)</f>
        <v>0</v>
      </c>
      <c r="P13" s="109">
        <f>IF('Liq-Zoot'!$G$21&gt;0,N13/'Liq-Zoot'!$G$21,0)</f>
        <v>0</v>
      </c>
      <c r="Q13" s="499"/>
      <c r="R13" s="65">
        <f>IF('Liq-Zoot'!$H$4&gt;0,Q13/'Liq-Zoot'!$H$4,0)</f>
        <v>0</v>
      </c>
      <c r="S13" s="109">
        <f>IF('Liq-Zoot'!$H$21&gt;0,Q13/'Liq-Zoot'!$H$21,0)</f>
        <v>0</v>
      </c>
      <c r="T13" s="62"/>
      <c r="U13" s="62"/>
    </row>
    <row r="14" spans="1:21" ht="15.75" x14ac:dyDescent="0.25">
      <c r="A14" s="66" t="s">
        <v>90</v>
      </c>
      <c r="B14" s="266"/>
      <c r="C14" s="91">
        <f>IF('Liq-Zoot'!$B$4&gt;0,B14/'Liq-Zoot'!$B$4,0)</f>
        <v>0</v>
      </c>
      <c r="D14" s="97">
        <f t="shared" si="5"/>
        <v>0</v>
      </c>
      <c r="E14" s="139">
        <f>IF('Liq-Zoot'!$B$21&gt;0,B14/'Liq-Zoot'!$B$21,0)</f>
        <v>0</v>
      </c>
      <c r="F14" s="91">
        <f>IF(AND('Liq-Zoot'!$B$3&gt;0,'Liq-Zoot'!$C$22&gt;0),B14/'Liq-Zoot'!$B$3/1.02/'Liq-Zoot'!$C$22*1000,0)</f>
        <v>0</v>
      </c>
      <c r="G14" s="250" t="str">
        <f t="shared" ref="G14:G28" si="6">IF(AND(E14&gt;0,F14&gt;0),(E14-F14)/F14*100,"")</f>
        <v/>
      </c>
      <c r="H14" s="267">
        <f>IF(Con!$M$3&gt;0,$B14/Con!$M$3*'G1'!$M$3,0)</f>
        <v>0</v>
      </c>
      <c r="I14" s="91">
        <f>IF('Liq-Zoot'!$E$4&gt;0,H14/'Liq-Zoot'!$E$4,0)</f>
        <v>0</v>
      </c>
      <c r="J14" s="110">
        <f>IF('Liq-Zoot'!$E$21&gt;0,H14/'Liq-Zoot'!$E$21,0)</f>
        <v>0</v>
      </c>
      <c r="K14" s="267">
        <f>IF(Con!$M$3&gt;0,$B14/Con!$M$3*'G2'!$M$3,0)</f>
        <v>0</v>
      </c>
      <c r="L14" s="91">
        <f>IF('Liq-Zoot'!$F$4&gt;0,K14/'Liq-Zoot'!$F$4,0)</f>
        <v>0</v>
      </c>
      <c r="M14" s="110">
        <f>IF('Liq-Zoot'!$F$21&gt;0,K14/'Liq-Zoot'!$F$21,0)</f>
        <v>0</v>
      </c>
      <c r="N14" s="267">
        <f>IF(Con!$M$3&gt;0,$B14/Con!$M$3*'G3'!$M$3,0)</f>
        <v>0</v>
      </c>
      <c r="O14" s="91">
        <f>IF('Liq-Zoot'!$G$4&gt;0,N14/'Liq-Zoot'!$G$4,0)</f>
        <v>0</v>
      </c>
      <c r="P14" s="110">
        <f>IF('Liq-Zoot'!$G$21&gt;0,N14/'Liq-Zoot'!$G$21,0)</f>
        <v>0</v>
      </c>
      <c r="Q14" s="267">
        <f>IF(Con!$M$3&gt;0,$B14/Con!$M$3*'G4'!$M$3,0)</f>
        <v>0</v>
      </c>
      <c r="R14" s="91">
        <f>IF('Liq-Zoot'!$H$4&gt;0,Q14/'Liq-Zoot'!$H$4,0)</f>
        <v>0</v>
      </c>
      <c r="S14" s="110">
        <f>IF('Liq-Zoot'!$H$21&gt;0,Q14/'Liq-Zoot'!$H$21,0)</f>
        <v>0</v>
      </c>
      <c r="T14" s="62"/>
      <c r="U14" s="62"/>
    </row>
    <row r="15" spans="1:21" ht="15.75" x14ac:dyDescent="0.25">
      <c r="A15" s="67" t="s">
        <v>89</v>
      </c>
      <c r="B15" s="129"/>
      <c r="C15" s="90">
        <f>IF('Liq-Zoot'!$B$4&gt;0,B15/'Liq-Zoot'!$B$4,0)</f>
        <v>0</v>
      </c>
      <c r="D15" s="94">
        <f t="shared" si="5"/>
        <v>0</v>
      </c>
      <c r="E15" s="136">
        <f>IF('Liq-Zoot'!$B$21&gt;0,B15/'Liq-Zoot'!$B$21,0)</f>
        <v>0</v>
      </c>
      <c r="F15" s="90">
        <f>IF(AND('Liq-Zoot'!$B$3&gt;0,'Liq-Zoot'!$C$22&gt;0),B15/'Liq-Zoot'!$B$3/1.02/'Liq-Zoot'!$C$22*1000,0)</f>
        <v>0</v>
      </c>
      <c r="G15" s="247" t="str">
        <f t="shared" si="6"/>
        <v/>
      </c>
      <c r="H15" s="104">
        <f>IF(Con!$M$3&gt;0,$B15/Con!$M$3*'G1'!$M$3,0)</f>
        <v>0</v>
      </c>
      <c r="I15" s="90">
        <f>IF('Liq-Zoot'!$E$4&gt;0,H15/'Liq-Zoot'!$E$4,0)</f>
        <v>0</v>
      </c>
      <c r="J15" s="105">
        <f>IF('Liq-Zoot'!$E$21&gt;0,H15/'Liq-Zoot'!$E$21,0)</f>
        <v>0</v>
      </c>
      <c r="K15" s="104">
        <f>IF(Con!$M$3&gt;0,$B15/Con!$M$3*'G2'!$M$3,0)</f>
        <v>0</v>
      </c>
      <c r="L15" s="90">
        <f>IF('Liq-Zoot'!$F$4&gt;0,K15/'Liq-Zoot'!$F$4,0)</f>
        <v>0</v>
      </c>
      <c r="M15" s="105">
        <f>IF('Liq-Zoot'!$F$21&gt;0,K15/'Liq-Zoot'!$F$21,0)</f>
        <v>0</v>
      </c>
      <c r="N15" s="104">
        <f>IF(Con!$M$3&gt;0,$B15/Con!$M$3*'G3'!$M$3,0)</f>
        <v>0</v>
      </c>
      <c r="O15" s="90">
        <f>IF('Liq-Zoot'!$G$4&gt;0,N15/'Liq-Zoot'!$G$4,0)</f>
        <v>0</v>
      </c>
      <c r="P15" s="105">
        <f>IF('Liq-Zoot'!$G$21&gt;0,N15/'Liq-Zoot'!$G$21,0)</f>
        <v>0</v>
      </c>
      <c r="Q15" s="104">
        <f>IF(Con!$M$3&gt;0,$B15/Con!$M$3*'G4'!$M$3,0)</f>
        <v>0</v>
      </c>
      <c r="R15" s="90">
        <f>IF('Liq-Zoot'!$H$4&gt;0,Q15/'Liq-Zoot'!$H$4,0)</f>
        <v>0</v>
      </c>
      <c r="S15" s="105">
        <f>IF('Liq-Zoot'!$H$21&gt;0,Q15/'Liq-Zoot'!$H$21,0)</f>
        <v>0</v>
      </c>
      <c r="T15" s="62"/>
      <c r="U15" s="62"/>
    </row>
    <row r="16" spans="1:21" ht="15.75" x14ac:dyDescent="0.25">
      <c r="A16" s="67" t="s">
        <v>92</v>
      </c>
      <c r="B16" s="119">
        <f>SUMIF($H$4:$S$4,$B$4,$H16:$S16)</f>
        <v>0</v>
      </c>
      <c r="C16" s="90">
        <f>IF('Liq-Zoot'!$B$4&gt;0,B16/'Liq-Zoot'!$B$4,0)</f>
        <v>0</v>
      </c>
      <c r="D16" s="94">
        <f t="shared" si="5"/>
        <v>0</v>
      </c>
      <c r="E16" s="136">
        <f>IF('Liq-Zoot'!$B$21&gt;0,B16/'Liq-Zoot'!$B$21,0)</f>
        <v>0</v>
      </c>
      <c r="F16" s="126"/>
      <c r="G16" s="247" t="str">
        <f t="shared" si="6"/>
        <v/>
      </c>
      <c r="H16" s="498"/>
      <c r="I16" s="90">
        <f>IF('Liq-Zoot'!$E$4&gt;0,H16/'Liq-Zoot'!$E$4,0)</f>
        <v>0</v>
      </c>
      <c r="J16" s="105">
        <f>IF('Liq-Zoot'!$E$21&gt;0,H16/'Liq-Zoot'!$E$21,0)</f>
        <v>0</v>
      </c>
      <c r="K16" s="498"/>
      <c r="L16" s="90">
        <f>IF('Liq-Zoot'!$F$4&gt;0,K16/'Liq-Zoot'!$F$4,0)</f>
        <v>0</v>
      </c>
      <c r="M16" s="105">
        <f>IF('Liq-Zoot'!$F$21&gt;0,K16/'Liq-Zoot'!$F$21,0)</f>
        <v>0</v>
      </c>
      <c r="N16" s="498"/>
      <c r="O16" s="90">
        <f>IF('Liq-Zoot'!$G$4&gt;0,N16/'Liq-Zoot'!$G$4,0)</f>
        <v>0</v>
      </c>
      <c r="P16" s="105">
        <f>IF('Liq-Zoot'!$G$21&gt;0,N16/'Liq-Zoot'!$G$21,0)</f>
        <v>0</v>
      </c>
      <c r="Q16" s="498"/>
      <c r="R16" s="90">
        <f>IF('Liq-Zoot'!$H$4&gt;0,Q16/'Liq-Zoot'!$H$4,0)</f>
        <v>0</v>
      </c>
      <c r="S16" s="105">
        <f>IF('Liq-Zoot'!$H$21&gt;0,Q16/'Liq-Zoot'!$H$21,0)</f>
        <v>0</v>
      </c>
      <c r="T16" s="62"/>
      <c r="U16" s="62"/>
    </row>
    <row r="17" spans="1:21" ht="15.75" x14ac:dyDescent="0.25">
      <c r="A17" s="67" t="s">
        <v>91</v>
      </c>
      <c r="B17" s="119">
        <f t="shared" ref="B17" si="7">SUMIF($H$4:$S$4,$B$4,$H17:$S17)</f>
        <v>0</v>
      </c>
      <c r="C17" s="90">
        <f>IF('Liq-Zoot'!$B$4&gt;0,B17/'Liq-Zoot'!$B$4,0)</f>
        <v>0</v>
      </c>
      <c r="D17" s="94">
        <f t="shared" si="5"/>
        <v>0</v>
      </c>
      <c r="E17" s="136">
        <f>IF('Liq-Zoot'!$B$21&gt;0,B17/'Liq-Zoot'!$B$21,0)</f>
        <v>0</v>
      </c>
      <c r="F17" s="126"/>
      <c r="G17" s="247" t="str">
        <f t="shared" si="6"/>
        <v/>
      </c>
      <c r="H17" s="498"/>
      <c r="I17" s="90">
        <f>IF('Liq-Zoot'!$E$4&gt;0,H17/'Liq-Zoot'!$E$4,0)</f>
        <v>0</v>
      </c>
      <c r="J17" s="105">
        <f>IF('Liq-Zoot'!$E$21&gt;0,H17/'Liq-Zoot'!$E$21,0)</f>
        <v>0</v>
      </c>
      <c r="K17" s="498"/>
      <c r="L17" s="90">
        <f>IF('Liq-Zoot'!$F$4&gt;0,K17/'Liq-Zoot'!$F$4,0)</f>
        <v>0</v>
      </c>
      <c r="M17" s="105">
        <f>IF('Liq-Zoot'!$F$21&gt;0,K17/'Liq-Zoot'!$F$21,0)</f>
        <v>0</v>
      </c>
      <c r="N17" s="498"/>
      <c r="O17" s="90">
        <f>IF('Liq-Zoot'!$G$4&gt;0,N17/'Liq-Zoot'!$G$4,0)</f>
        <v>0</v>
      </c>
      <c r="P17" s="105">
        <f>IF('Liq-Zoot'!$G$21&gt;0,N17/'Liq-Zoot'!$G$21,0)</f>
        <v>0</v>
      </c>
      <c r="Q17" s="498"/>
      <c r="R17" s="90">
        <f>IF('Liq-Zoot'!$H$4&gt;0,Q17/'Liq-Zoot'!$H$4,0)</f>
        <v>0</v>
      </c>
      <c r="S17" s="105">
        <f>IF('Liq-Zoot'!$H$21&gt;0,Q17/'Liq-Zoot'!$H$21,0)</f>
        <v>0</v>
      </c>
      <c r="T17" s="62"/>
      <c r="U17" s="62"/>
    </row>
    <row r="18" spans="1:21" ht="15.75" x14ac:dyDescent="0.25">
      <c r="A18" s="70" t="s">
        <v>88</v>
      </c>
      <c r="B18" s="130"/>
      <c r="C18" s="65">
        <f>IF('Liq-Zoot'!$B$4&gt;0,B18/'Liq-Zoot'!$B$4,0)</f>
        <v>0</v>
      </c>
      <c r="D18" s="96">
        <f t="shared" si="5"/>
        <v>0</v>
      </c>
      <c r="E18" s="138">
        <f>IF('Liq-Zoot'!$B$21&gt;0,B18/'Liq-Zoot'!$B$21,0)</f>
        <v>0</v>
      </c>
      <c r="F18" s="141">
        <f>IF(AND('Liq-Zoot'!$B$3&gt;0,'Liq-Zoot'!$C$22&gt;0),B18/'Liq-Zoot'!$B$3/1.02/'Liq-Zoot'!$C$22*1000,0)</f>
        <v>0</v>
      </c>
      <c r="G18" s="249" t="str">
        <f t="shared" si="6"/>
        <v/>
      </c>
      <c r="H18" s="111">
        <f>IF(Con!$M$3&gt;0,$B18/Con!$M$3*'G1'!$M$3,0)</f>
        <v>0</v>
      </c>
      <c r="I18" s="65">
        <f>IF('Liq-Zoot'!$E$4&gt;0,H18/'Liq-Zoot'!$E$4,0)</f>
        <v>0</v>
      </c>
      <c r="J18" s="109">
        <f>IF('Liq-Zoot'!$E$21&gt;0,H18/'Liq-Zoot'!$E$21,0)</f>
        <v>0</v>
      </c>
      <c r="K18" s="111">
        <f>IF(Con!$M$3&gt;0,$B18/Con!$M$3*'G2'!$M$3,0)</f>
        <v>0</v>
      </c>
      <c r="L18" s="65">
        <f>IF('Liq-Zoot'!$F$4&gt;0,K18/'Liq-Zoot'!$F$4,0)</f>
        <v>0</v>
      </c>
      <c r="M18" s="109">
        <f>IF('Liq-Zoot'!$F$21&gt;0,K18/'Liq-Zoot'!$F$21,0)</f>
        <v>0</v>
      </c>
      <c r="N18" s="111">
        <f>IF(Con!$M$3&gt;0,$B18/Con!$M$3*'G3'!$M$3,0)</f>
        <v>0</v>
      </c>
      <c r="O18" s="65">
        <f>IF('Liq-Zoot'!$G$4&gt;0,N18/'Liq-Zoot'!$G$4,0)</f>
        <v>0</v>
      </c>
      <c r="P18" s="109">
        <f>IF('Liq-Zoot'!$G$21&gt;0,N18/'Liq-Zoot'!$G$21,0)</f>
        <v>0</v>
      </c>
      <c r="Q18" s="111">
        <f>IF(Con!$M$3&gt;0,$B18/Con!$M$3*'G4'!$M$3,0)</f>
        <v>0</v>
      </c>
      <c r="R18" s="65">
        <f>IF('Liq-Zoot'!$H$4&gt;0,Q18/'Liq-Zoot'!$H$4,0)</f>
        <v>0</v>
      </c>
      <c r="S18" s="109">
        <f>IF('Liq-Zoot'!$H$21&gt;0,Q18/'Liq-Zoot'!$H$21,0)</f>
        <v>0</v>
      </c>
      <c r="T18" s="62"/>
      <c r="U18" s="62"/>
    </row>
    <row r="19" spans="1:21" ht="15.75" x14ac:dyDescent="0.25">
      <c r="A19" s="69" t="s">
        <v>87</v>
      </c>
      <c r="B19" s="131"/>
      <c r="C19" s="63">
        <f>IF('Liq-Zoot'!$B$4&gt;0,B19/'Liq-Zoot'!$B$4,0)</f>
        <v>0</v>
      </c>
      <c r="D19" s="93">
        <f t="shared" si="5"/>
        <v>0</v>
      </c>
      <c r="E19" s="135">
        <f>IF('Liq-Zoot'!$B$21&gt;0,B19/'Liq-Zoot'!$B$21,0)</f>
        <v>0</v>
      </c>
      <c r="F19" s="125"/>
      <c r="G19" s="246" t="str">
        <f t="shared" si="6"/>
        <v/>
      </c>
      <c r="H19" s="102">
        <f>IF(Con!$M$3&gt;0,$B19/Con!$M$3*'G1'!$M$3,0)</f>
        <v>0</v>
      </c>
      <c r="I19" s="63">
        <f>IF('Liq-Zoot'!$E$4&gt;0,H19/'Liq-Zoot'!$E$4,0)</f>
        <v>0</v>
      </c>
      <c r="J19" s="103">
        <f>IF('Liq-Zoot'!$E$21&gt;0,H19/'Liq-Zoot'!$E$21,0)</f>
        <v>0</v>
      </c>
      <c r="K19" s="102">
        <f>IF(Con!$M$3&gt;0,$B19/Con!$M$3*'G2'!$M$3,0)</f>
        <v>0</v>
      </c>
      <c r="L19" s="63">
        <f>IF('Liq-Zoot'!$F$4&gt;0,K19/'Liq-Zoot'!$F$4,0)</f>
        <v>0</v>
      </c>
      <c r="M19" s="103">
        <f>IF('Liq-Zoot'!$F$21&gt;0,K19/'Liq-Zoot'!$F$21,0)</f>
        <v>0</v>
      </c>
      <c r="N19" s="102">
        <f>IF(Con!$M$3&gt;0,$B19/Con!$M$3*'G3'!$M$3,0)</f>
        <v>0</v>
      </c>
      <c r="O19" s="63">
        <f>IF('Liq-Zoot'!$G$4&gt;0,N19/'Liq-Zoot'!$G$4,0)</f>
        <v>0</v>
      </c>
      <c r="P19" s="103">
        <f>IF('Liq-Zoot'!$G$21&gt;0,N19/'Liq-Zoot'!$G$21,0)</f>
        <v>0</v>
      </c>
      <c r="Q19" s="102">
        <f>IF(Con!$M$3&gt;0,$B19/Con!$M$3*'G4'!$M$3,0)</f>
        <v>0</v>
      </c>
      <c r="R19" s="63">
        <f>IF('Liq-Zoot'!$H$4&gt;0,Q19/'Liq-Zoot'!$H$4,0)</f>
        <v>0</v>
      </c>
      <c r="S19" s="103">
        <f>IF('Liq-Zoot'!$H$21&gt;0,Q19/'Liq-Zoot'!$H$21,0)</f>
        <v>0</v>
      </c>
      <c r="T19" s="62"/>
      <c r="U19" s="62"/>
    </row>
    <row r="20" spans="1:21" ht="15.75" x14ac:dyDescent="0.25">
      <c r="A20" s="67" t="s">
        <v>96</v>
      </c>
      <c r="B20" s="129"/>
      <c r="C20" s="90">
        <f>IF('Liq-Zoot'!$B$4&gt;0,B20/'Liq-Zoot'!$B$4,0)</f>
        <v>0</v>
      </c>
      <c r="D20" s="94">
        <f t="shared" si="5"/>
        <v>0</v>
      </c>
      <c r="E20" s="136">
        <f>IF('Liq-Zoot'!$B$21&gt;0,B20/'Liq-Zoot'!$B$21,0)</f>
        <v>0</v>
      </c>
      <c r="F20" s="126"/>
      <c r="G20" s="247" t="str">
        <f t="shared" si="6"/>
        <v/>
      </c>
      <c r="H20" s="104">
        <f>IF(Con!$M$3&gt;0,$B20/Con!$M$3*'G1'!$M$3,0)</f>
        <v>0</v>
      </c>
      <c r="I20" s="90">
        <f>IF('Liq-Zoot'!$E$4&gt;0,H20/'Liq-Zoot'!$E$4,0)</f>
        <v>0</v>
      </c>
      <c r="J20" s="105">
        <f>IF('Liq-Zoot'!$E$21&gt;0,H20/'Liq-Zoot'!$E$21,0)</f>
        <v>0</v>
      </c>
      <c r="K20" s="104">
        <f>IF(Con!$M$3&gt;0,$B20/Con!$M$3*'G2'!$M$3,0)</f>
        <v>0</v>
      </c>
      <c r="L20" s="90">
        <f>IF('Liq-Zoot'!$F$4&gt;0,K20/'Liq-Zoot'!$F$4,0)</f>
        <v>0</v>
      </c>
      <c r="M20" s="105">
        <f>IF('Liq-Zoot'!$F$21&gt;0,K20/'Liq-Zoot'!$F$21,0)</f>
        <v>0</v>
      </c>
      <c r="N20" s="104">
        <f>IF(Con!$M$3&gt;0,$B20/Con!$M$3*'G3'!$M$3,0)</f>
        <v>0</v>
      </c>
      <c r="O20" s="90">
        <f>IF('Liq-Zoot'!$G$4&gt;0,N20/'Liq-Zoot'!$G$4,0)</f>
        <v>0</v>
      </c>
      <c r="P20" s="105">
        <f>IF('Liq-Zoot'!$G$21&gt;0,N20/'Liq-Zoot'!$G$21,0)</f>
        <v>0</v>
      </c>
      <c r="Q20" s="104">
        <f>IF(Con!$M$3&gt;0,$B20/Con!$M$3*'G4'!$M$3,0)</f>
        <v>0</v>
      </c>
      <c r="R20" s="90">
        <f>IF('Liq-Zoot'!$H$4&gt;0,Q20/'Liq-Zoot'!$H$4,0)</f>
        <v>0</v>
      </c>
      <c r="S20" s="105">
        <f>IF('Liq-Zoot'!$H$21&gt;0,Q20/'Liq-Zoot'!$H$21,0)</f>
        <v>0</v>
      </c>
      <c r="T20" s="62"/>
      <c r="U20" s="62"/>
    </row>
    <row r="21" spans="1:21" ht="15.75" x14ac:dyDescent="0.25">
      <c r="A21" s="67" t="s">
        <v>98</v>
      </c>
      <c r="B21" s="129"/>
      <c r="C21" s="90">
        <f>IF('Liq-Zoot'!$B$4&gt;0,B21/'Liq-Zoot'!$B$4,0)</f>
        <v>0</v>
      </c>
      <c r="D21" s="94">
        <f t="shared" si="5"/>
        <v>0</v>
      </c>
      <c r="E21" s="136">
        <f>IF('Liq-Zoot'!$B$21&gt;0,B21/'Liq-Zoot'!$B$21,0)</f>
        <v>0</v>
      </c>
      <c r="F21" s="126"/>
      <c r="G21" s="247" t="str">
        <f t="shared" si="6"/>
        <v/>
      </c>
      <c r="H21" s="104">
        <f>IF(Con!$M$3&gt;0,$B21/Con!$M$3*'G1'!$M$3,0)</f>
        <v>0</v>
      </c>
      <c r="I21" s="90">
        <f>IF('Liq-Zoot'!$E$4&gt;0,H21/'Liq-Zoot'!$E$4,0)</f>
        <v>0</v>
      </c>
      <c r="J21" s="105">
        <f>IF('Liq-Zoot'!$E$21&gt;0,H21/'Liq-Zoot'!$E$21,0)</f>
        <v>0</v>
      </c>
      <c r="K21" s="104">
        <f>IF(Con!$M$3&gt;0,$B21/Con!$M$3*'G2'!$M$3,0)</f>
        <v>0</v>
      </c>
      <c r="L21" s="90">
        <f>IF('Liq-Zoot'!$F$4&gt;0,K21/'Liq-Zoot'!$F$4,0)</f>
        <v>0</v>
      </c>
      <c r="M21" s="105">
        <f>IF('Liq-Zoot'!$F$21&gt;0,K21/'Liq-Zoot'!$F$21,0)</f>
        <v>0</v>
      </c>
      <c r="N21" s="104">
        <f>IF(Con!$M$3&gt;0,$B21/Con!$M$3*'G3'!$M$3,0)</f>
        <v>0</v>
      </c>
      <c r="O21" s="90">
        <f>IF('Liq-Zoot'!$G$4&gt;0,N21/'Liq-Zoot'!$G$4,0)</f>
        <v>0</v>
      </c>
      <c r="P21" s="105">
        <f>IF('Liq-Zoot'!$G$21&gt;0,N21/'Liq-Zoot'!$G$21,0)</f>
        <v>0</v>
      </c>
      <c r="Q21" s="104">
        <f>IF(Con!$M$3&gt;0,$B21/Con!$M$3*'G4'!$M$3,0)</f>
        <v>0</v>
      </c>
      <c r="R21" s="90">
        <f>IF('Liq-Zoot'!$H$4&gt;0,Q21/'Liq-Zoot'!$H$4,0)</f>
        <v>0</v>
      </c>
      <c r="S21" s="105">
        <f>IF('Liq-Zoot'!$H$21&gt;0,Q21/'Liq-Zoot'!$H$21,0)</f>
        <v>0</v>
      </c>
      <c r="T21" s="62"/>
      <c r="U21" s="62"/>
    </row>
    <row r="22" spans="1:21" ht="15.75" x14ac:dyDescent="0.25">
      <c r="A22" s="67" t="s">
        <v>99</v>
      </c>
      <c r="B22" s="129"/>
      <c r="C22" s="90">
        <f>IF('Liq-Zoot'!$B$4&gt;0,B22/'Liq-Zoot'!$B$4,0)</f>
        <v>0</v>
      </c>
      <c r="D22" s="94">
        <f t="shared" si="5"/>
        <v>0</v>
      </c>
      <c r="E22" s="136">
        <f>IF('Liq-Zoot'!$B$21&gt;0,B22/'Liq-Zoot'!$B$21,0)</f>
        <v>0</v>
      </c>
      <c r="F22" s="126"/>
      <c r="G22" s="247" t="str">
        <f t="shared" si="6"/>
        <v/>
      </c>
      <c r="H22" s="104">
        <f>IF(Con!$M$3&gt;0,$B22/Con!$M$3*'G1'!$M$3,0)</f>
        <v>0</v>
      </c>
      <c r="I22" s="90">
        <f>IF('Liq-Zoot'!$E$4&gt;0,H22/'Liq-Zoot'!$E$4,0)</f>
        <v>0</v>
      </c>
      <c r="J22" s="105">
        <f>IF('Liq-Zoot'!$E$21&gt;0,H22/'Liq-Zoot'!$E$21,0)</f>
        <v>0</v>
      </c>
      <c r="K22" s="104">
        <f>IF(Con!$M$3&gt;0,$B22/Con!$M$3*'G2'!$M$3,0)</f>
        <v>0</v>
      </c>
      <c r="L22" s="90">
        <f>IF('Liq-Zoot'!$F$4&gt;0,K22/'Liq-Zoot'!$F$4,0)</f>
        <v>0</v>
      </c>
      <c r="M22" s="105">
        <f>IF('Liq-Zoot'!$F$21&gt;0,K22/'Liq-Zoot'!$F$21,0)</f>
        <v>0</v>
      </c>
      <c r="N22" s="104">
        <f>IF(Con!$M$3&gt;0,$B22/Con!$M$3*'G3'!$M$3,0)</f>
        <v>0</v>
      </c>
      <c r="O22" s="90">
        <f>IF('Liq-Zoot'!$G$4&gt;0,N22/'Liq-Zoot'!$G$4,0)</f>
        <v>0</v>
      </c>
      <c r="P22" s="105">
        <f>IF('Liq-Zoot'!$G$21&gt;0,N22/'Liq-Zoot'!$G$21,0)</f>
        <v>0</v>
      </c>
      <c r="Q22" s="104">
        <f>IF(Con!$M$3&gt;0,$B22/Con!$M$3*'G4'!$M$3,0)</f>
        <v>0</v>
      </c>
      <c r="R22" s="90">
        <f>IF('Liq-Zoot'!$H$4&gt;0,Q22/'Liq-Zoot'!$H$4,0)</f>
        <v>0</v>
      </c>
      <c r="S22" s="105">
        <f>IF('Liq-Zoot'!$H$21&gt;0,Q22/'Liq-Zoot'!$H$21,0)</f>
        <v>0</v>
      </c>
      <c r="T22" s="62"/>
      <c r="U22" s="62"/>
    </row>
    <row r="23" spans="1:21" ht="15.75" x14ac:dyDescent="0.25">
      <c r="A23" s="67" t="s">
        <v>97</v>
      </c>
      <c r="B23" s="129"/>
      <c r="C23" s="90">
        <f>IF('Liq-Zoot'!$B$4&gt;0,B23/'Liq-Zoot'!$B$4,0)</f>
        <v>0</v>
      </c>
      <c r="D23" s="94">
        <f t="shared" si="5"/>
        <v>0</v>
      </c>
      <c r="E23" s="136">
        <f>IF('Liq-Zoot'!$B$21&gt;0,B23/'Liq-Zoot'!$B$21,0)</f>
        <v>0</v>
      </c>
      <c r="F23" s="126"/>
      <c r="G23" s="247" t="str">
        <f t="shared" si="6"/>
        <v/>
      </c>
      <c r="H23" s="104">
        <f>IF(Con!$M$3&gt;0,$B23/Con!$M$3*'G1'!$M$3,0)</f>
        <v>0</v>
      </c>
      <c r="I23" s="90">
        <f>IF('Liq-Zoot'!$E$4&gt;0,H23/'Liq-Zoot'!$E$4,0)</f>
        <v>0</v>
      </c>
      <c r="J23" s="105">
        <f>IF('Liq-Zoot'!$E$21&gt;0,H23/'Liq-Zoot'!$E$21,0)</f>
        <v>0</v>
      </c>
      <c r="K23" s="104">
        <f>IF(Con!$M$3&gt;0,$B23/Con!$M$3*'G2'!$M$3,0)</f>
        <v>0</v>
      </c>
      <c r="L23" s="90">
        <f>IF('Liq-Zoot'!$F$4&gt;0,K23/'Liq-Zoot'!$F$4,0)</f>
        <v>0</v>
      </c>
      <c r="M23" s="105">
        <f>IF('Liq-Zoot'!$F$21&gt;0,K23/'Liq-Zoot'!$F$21,0)</f>
        <v>0</v>
      </c>
      <c r="N23" s="104">
        <f>IF(Con!$M$3&gt;0,$B23/Con!$M$3*'G3'!$M$3,0)</f>
        <v>0</v>
      </c>
      <c r="O23" s="90">
        <f>IF('Liq-Zoot'!$G$4&gt;0,N23/'Liq-Zoot'!$G$4,0)</f>
        <v>0</v>
      </c>
      <c r="P23" s="105">
        <f>IF('Liq-Zoot'!$G$21&gt;0,N23/'Liq-Zoot'!$G$21,0)</f>
        <v>0</v>
      </c>
      <c r="Q23" s="104">
        <f>IF(Con!$M$3&gt;0,$B23/Con!$M$3*'G4'!$M$3,0)</f>
        <v>0</v>
      </c>
      <c r="R23" s="90">
        <f>IF('Liq-Zoot'!$H$4&gt;0,Q23/'Liq-Zoot'!$H$4,0)</f>
        <v>0</v>
      </c>
      <c r="S23" s="105">
        <f>IF('Liq-Zoot'!$H$21&gt;0,Q23/'Liq-Zoot'!$H$21,0)</f>
        <v>0</v>
      </c>
      <c r="T23" s="62"/>
      <c r="U23" s="62"/>
    </row>
    <row r="24" spans="1:21" ht="15.75" x14ac:dyDescent="0.25">
      <c r="A24" s="70" t="s">
        <v>84</v>
      </c>
      <c r="B24" s="121">
        <f>SUMIF($H$4:$S$4,$B$4,$H24:$S24)</f>
        <v>0</v>
      </c>
      <c r="C24" s="65">
        <f>IF('Liq-Zoot'!$B$4&gt;0,B24/'Liq-Zoot'!$B$4,0)</f>
        <v>0</v>
      </c>
      <c r="D24" s="96">
        <f t="shared" si="5"/>
        <v>0</v>
      </c>
      <c r="E24" s="138">
        <f>IF('Liq-Zoot'!$B$21&gt;0,B24/'Liq-Zoot'!$B$21,0)</f>
        <v>0</v>
      </c>
      <c r="F24" s="127"/>
      <c r="G24" s="249" t="str">
        <f t="shared" si="6"/>
        <v/>
      </c>
      <c r="H24" s="497"/>
      <c r="I24" s="65">
        <f>IF('Liq-Zoot'!$E$4&gt;0,H24/'Liq-Zoot'!$E$4,0)</f>
        <v>0</v>
      </c>
      <c r="J24" s="109">
        <f>IF('Liq-Zoot'!$E$21&gt;0,H24/'Liq-Zoot'!$E$21,0)</f>
        <v>0</v>
      </c>
      <c r="K24" s="497"/>
      <c r="L24" s="65">
        <f>IF('Liq-Zoot'!$F$4&gt;0,K24/'Liq-Zoot'!$F$4,0)</f>
        <v>0</v>
      </c>
      <c r="M24" s="109">
        <f>IF('Liq-Zoot'!$F$21&gt;0,K24/'Liq-Zoot'!$F$21,0)</f>
        <v>0</v>
      </c>
      <c r="N24" s="497"/>
      <c r="O24" s="65">
        <f>IF('Liq-Zoot'!$G$4&gt;0,N24/'Liq-Zoot'!$G$4,0)</f>
        <v>0</v>
      </c>
      <c r="P24" s="109">
        <f>IF('Liq-Zoot'!$G$21&gt;0,N24/'Liq-Zoot'!$G$21,0)</f>
        <v>0</v>
      </c>
      <c r="Q24" s="497"/>
      <c r="R24" s="65">
        <f>IF('Liq-Zoot'!$H$4&gt;0,Q24/'Liq-Zoot'!$H$4,0)</f>
        <v>0</v>
      </c>
      <c r="S24" s="109">
        <f>IF('Liq-Zoot'!$H$21&gt;0,Q24/'Liq-Zoot'!$H$21,0)</f>
        <v>0</v>
      </c>
      <c r="T24" s="62"/>
      <c r="U24" s="62"/>
    </row>
    <row r="25" spans="1:21" ht="15.75" x14ac:dyDescent="0.25">
      <c r="A25" s="69" t="s">
        <v>100</v>
      </c>
      <c r="B25" s="131"/>
      <c r="C25" s="63">
        <f>IF('Liq-Zoot'!$B$4&gt;0,B25/'Liq-Zoot'!$B$4,0)</f>
        <v>0</v>
      </c>
      <c r="D25" s="93">
        <f t="shared" si="5"/>
        <v>0</v>
      </c>
      <c r="E25" s="135">
        <f>IF('Liq-Zoot'!$B$21&gt;0,B25/'Liq-Zoot'!$B$21,0)</f>
        <v>0</v>
      </c>
      <c r="F25" s="125"/>
      <c r="G25" s="246" t="str">
        <f t="shared" si="6"/>
        <v/>
      </c>
      <c r="H25" s="102">
        <f>IF(Con!$M$3&gt;0,$B25/Con!$M$3*'G1'!$M$3,0)</f>
        <v>0</v>
      </c>
      <c r="I25" s="63">
        <f>IF('Liq-Zoot'!$E$4&gt;0,H25/'Liq-Zoot'!$E$4,0)</f>
        <v>0</v>
      </c>
      <c r="J25" s="103">
        <f>IF('Liq-Zoot'!$E$21&gt;0,H25/'Liq-Zoot'!$E$21,0)</f>
        <v>0</v>
      </c>
      <c r="K25" s="102">
        <f>IF(Con!$M$3&gt;0,$B25/Con!$M$3*'G2'!$M$3,0)</f>
        <v>0</v>
      </c>
      <c r="L25" s="63">
        <f>IF('Liq-Zoot'!$F$4&gt;0,K25/'Liq-Zoot'!$F$4,0)</f>
        <v>0</v>
      </c>
      <c r="M25" s="103">
        <f>IF('Liq-Zoot'!$F$21&gt;0,K25/'Liq-Zoot'!$F$21,0)</f>
        <v>0</v>
      </c>
      <c r="N25" s="102">
        <f>IF(Con!$M$3&gt;0,$B25/Con!$M$3*'G3'!$M$3,0)</f>
        <v>0</v>
      </c>
      <c r="O25" s="63">
        <f>IF('Liq-Zoot'!$G$4&gt;0,N25/'Liq-Zoot'!$G$4,0)</f>
        <v>0</v>
      </c>
      <c r="P25" s="103">
        <f>IF('Liq-Zoot'!$G$21&gt;0,N25/'Liq-Zoot'!$G$21,0)</f>
        <v>0</v>
      </c>
      <c r="Q25" s="102">
        <f>IF(Con!$M$3&gt;0,$B25/Con!$M$3*'G4'!$M$3,0)</f>
        <v>0</v>
      </c>
      <c r="R25" s="63">
        <f>IF('Liq-Zoot'!$H$4&gt;0,Q25/'Liq-Zoot'!$H$4,0)</f>
        <v>0</v>
      </c>
      <c r="S25" s="103">
        <f>IF('Liq-Zoot'!$H$21&gt;0,Q25/'Liq-Zoot'!$H$21,0)</f>
        <v>0</v>
      </c>
      <c r="T25" s="62"/>
      <c r="U25" s="62"/>
    </row>
    <row r="26" spans="1:21" ht="15.75" x14ac:dyDescent="0.25">
      <c r="A26" s="268" t="s">
        <v>113</v>
      </c>
      <c r="B26" s="129"/>
      <c r="C26" s="90">
        <f>IF('Liq-Zoot'!$B$4&gt;0,B26/'Liq-Zoot'!$B$4,0)</f>
        <v>0</v>
      </c>
      <c r="D26" s="94">
        <f t="shared" si="5"/>
        <v>0</v>
      </c>
      <c r="E26" s="136">
        <f>IF('Liq-Zoot'!$B$21&gt;0,B26/'Liq-Zoot'!$B$21,0)</f>
        <v>0</v>
      </c>
      <c r="F26" s="126"/>
      <c r="G26" s="247" t="str">
        <f t="shared" si="6"/>
        <v/>
      </c>
      <c r="H26" s="104">
        <f>IF(Con!$M$3&gt;0,$B26/Con!$M$3*'G1'!$M$3,0)</f>
        <v>0</v>
      </c>
      <c r="I26" s="90">
        <f>IF('Liq-Zoot'!$E$4&gt;0,H26/'Liq-Zoot'!$E$4,0)</f>
        <v>0</v>
      </c>
      <c r="J26" s="105">
        <f>IF('Liq-Zoot'!$E$21&gt;0,H26/'Liq-Zoot'!$E$21,0)</f>
        <v>0</v>
      </c>
      <c r="K26" s="104">
        <f>IF(Con!$M$3&gt;0,$B26/Con!$M$3*'G2'!$M$3,0)</f>
        <v>0</v>
      </c>
      <c r="L26" s="90">
        <f>IF('Liq-Zoot'!$F$4&gt;0,K26/'Liq-Zoot'!$F$4,0)</f>
        <v>0</v>
      </c>
      <c r="M26" s="105">
        <f>IF('Liq-Zoot'!$F$21&gt;0,K26/'Liq-Zoot'!$F$21,0)</f>
        <v>0</v>
      </c>
      <c r="N26" s="104">
        <f>IF(Con!$M$3&gt;0,$B26/Con!$M$3*'G3'!$M$3,0)</f>
        <v>0</v>
      </c>
      <c r="O26" s="90">
        <f>IF('Liq-Zoot'!$G$4&gt;0,N26/'Liq-Zoot'!$G$4,0)</f>
        <v>0</v>
      </c>
      <c r="P26" s="105">
        <f>IF('Liq-Zoot'!$G$21&gt;0,N26/'Liq-Zoot'!$G$21,0)</f>
        <v>0</v>
      </c>
      <c r="Q26" s="104">
        <f>IF(Con!$M$3&gt;0,$B26/Con!$M$3*'G4'!$M$3,0)</f>
        <v>0</v>
      </c>
      <c r="R26" s="90">
        <f>IF('Liq-Zoot'!$H$4&gt;0,Q26/'Liq-Zoot'!$H$4,0)</f>
        <v>0</v>
      </c>
      <c r="S26" s="105">
        <f>IF('Liq-Zoot'!$H$21&gt;0,Q26/'Liq-Zoot'!$H$21,0)</f>
        <v>0</v>
      </c>
      <c r="T26" s="62"/>
      <c r="U26" s="62"/>
    </row>
    <row r="27" spans="1:21" ht="15.75" x14ac:dyDescent="0.25">
      <c r="A27" s="67" t="s">
        <v>101</v>
      </c>
      <c r="B27" s="129"/>
      <c r="C27" s="90">
        <f>IF('Liq-Zoot'!$B$4&gt;0,B27/'Liq-Zoot'!$B$4,0)</f>
        <v>0</v>
      </c>
      <c r="D27" s="94">
        <f t="shared" si="5"/>
        <v>0</v>
      </c>
      <c r="E27" s="136">
        <f>IF('Liq-Zoot'!$B$21&gt;0,B27/'Liq-Zoot'!$B$21,0)</f>
        <v>0</v>
      </c>
      <c r="F27" s="126"/>
      <c r="G27" s="247" t="str">
        <f t="shared" si="6"/>
        <v/>
      </c>
      <c r="H27" s="104">
        <f>IF(Con!$M$3&gt;0,$B27/Con!$M$3*'G1'!$M$3,0)</f>
        <v>0</v>
      </c>
      <c r="I27" s="90">
        <f>IF('Liq-Zoot'!$E$4&gt;0,H27/'Liq-Zoot'!$E$4,0)</f>
        <v>0</v>
      </c>
      <c r="J27" s="105">
        <f>IF('Liq-Zoot'!$E$21&gt;0,H27/'Liq-Zoot'!$E$21,0)</f>
        <v>0</v>
      </c>
      <c r="K27" s="104">
        <f>IF(Con!$M$3&gt;0,$B27/Con!$M$3*'G2'!$M$3,0)</f>
        <v>0</v>
      </c>
      <c r="L27" s="90">
        <f>IF('Liq-Zoot'!$F$4&gt;0,K27/'Liq-Zoot'!$F$4,0)</f>
        <v>0</v>
      </c>
      <c r="M27" s="105">
        <f>IF('Liq-Zoot'!$F$21&gt;0,K27/'Liq-Zoot'!$F$21,0)</f>
        <v>0</v>
      </c>
      <c r="N27" s="104">
        <f>IF(Con!$M$3&gt;0,$B27/Con!$M$3*'G3'!$M$3,0)</f>
        <v>0</v>
      </c>
      <c r="O27" s="90">
        <f>IF('Liq-Zoot'!$G$4&gt;0,N27/'Liq-Zoot'!$G$4,0)</f>
        <v>0</v>
      </c>
      <c r="P27" s="105">
        <f>IF('Liq-Zoot'!$G$21&gt;0,N27/'Liq-Zoot'!$G$21,0)</f>
        <v>0</v>
      </c>
      <c r="Q27" s="104">
        <f>IF(Con!$M$3&gt;0,$B27/Con!$M$3*'G4'!$M$3,0)</f>
        <v>0</v>
      </c>
      <c r="R27" s="90">
        <f>IF('Liq-Zoot'!$H$4&gt;0,Q27/'Liq-Zoot'!$H$4,0)</f>
        <v>0</v>
      </c>
      <c r="S27" s="105">
        <f>IF('Liq-Zoot'!$H$21&gt;0,Q27/'Liq-Zoot'!$H$21,0)</f>
        <v>0</v>
      </c>
      <c r="T27" s="62"/>
      <c r="U27" s="62"/>
    </row>
    <row r="28" spans="1:21" ht="15.75" x14ac:dyDescent="0.25">
      <c r="A28" s="70" t="s">
        <v>102</v>
      </c>
      <c r="B28" s="130"/>
      <c r="C28" s="65">
        <f>IF('Liq-Zoot'!$B$4&gt;0,B28/'Liq-Zoot'!$B$4,0)</f>
        <v>0</v>
      </c>
      <c r="D28" s="96">
        <f t="shared" si="5"/>
        <v>0</v>
      </c>
      <c r="E28" s="138">
        <f>IF('Liq-Zoot'!$B$21&gt;0,B28/'Liq-Zoot'!$B$21,0)</f>
        <v>0</v>
      </c>
      <c r="F28" s="141">
        <f>IF(AND('Liq-Zoot'!$B$3&gt;0,'Liq-Zoot'!$C$22&gt;0),B28/'Liq-Zoot'!$B$3/1.02/'Liq-Zoot'!$C$22*1000,0)</f>
        <v>0</v>
      </c>
      <c r="G28" s="249" t="str">
        <f t="shared" si="6"/>
        <v/>
      </c>
      <c r="H28" s="111">
        <f>IF(Con!$M$3&gt;0,$B28/Con!$M$3*'G1'!$M$3,0)</f>
        <v>0</v>
      </c>
      <c r="I28" s="65">
        <f>IF('Liq-Zoot'!$E$4&gt;0,H28/'Liq-Zoot'!$E$4,0)</f>
        <v>0</v>
      </c>
      <c r="J28" s="109">
        <f>IF('Liq-Zoot'!$E$21&gt;0,H28/'Liq-Zoot'!$E$21,0)</f>
        <v>0</v>
      </c>
      <c r="K28" s="111">
        <f>IF(Con!$M$3&gt;0,$B28/Con!$M$3*'G2'!$M$3,0)</f>
        <v>0</v>
      </c>
      <c r="L28" s="65">
        <f>IF('Liq-Zoot'!$F$4&gt;0,K28/'Liq-Zoot'!$F$4,0)</f>
        <v>0</v>
      </c>
      <c r="M28" s="109">
        <f>IF('Liq-Zoot'!$F$21&gt;0,K28/'Liq-Zoot'!$F$21,0)</f>
        <v>0</v>
      </c>
      <c r="N28" s="111">
        <f>IF(Con!$M$3&gt;0,$B28/Con!$M$3*'G3'!$M$3,0)</f>
        <v>0</v>
      </c>
      <c r="O28" s="65">
        <f>IF('Liq-Zoot'!$G$4&gt;0,N28/'Liq-Zoot'!$G$4,0)</f>
        <v>0</v>
      </c>
      <c r="P28" s="109">
        <f>IF('Liq-Zoot'!$G$21&gt;0,N28/'Liq-Zoot'!$G$21,0)</f>
        <v>0</v>
      </c>
      <c r="Q28" s="111">
        <f>IF(Con!$M$3&gt;0,$B28/Con!$M$3*'G4'!$M$3,0)</f>
        <v>0</v>
      </c>
      <c r="R28" s="65">
        <f>IF('Liq-Zoot'!$H$4&gt;0,Q28/'Liq-Zoot'!$H$4,0)</f>
        <v>0</v>
      </c>
      <c r="S28" s="109">
        <f>IF('Liq-Zoot'!$H$21&gt;0,Q28/'Liq-Zoot'!$H$21,0)</f>
        <v>0</v>
      </c>
      <c r="T28" s="62"/>
      <c r="U28" s="62"/>
    </row>
    <row r="29" spans="1:21" ht="15.75" x14ac:dyDescent="0.25">
      <c r="A29" s="69" t="s">
        <v>85</v>
      </c>
      <c r="B29" s="118">
        <f t="shared" ref="B29:B31" si="8">SUMIF($H$4:$S$4,$B$4,$H29:$S29)</f>
        <v>0</v>
      </c>
      <c r="C29" s="63">
        <f>IF('Liq-Zoot'!$B$4&gt;0,B29/'Liq-Zoot'!$B$4,0)</f>
        <v>0</v>
      </c>
      <c r="D29" s="93">
        <f t="shared" ref="D29:D31" si="9">IF(E$3&gt;0,E29/E$3,0)</f>
        <v>0</v>
      </c>
      <c r="E29" s="135">
        <f>IF('Liq-Zoot'!$B$21&gt;0,B29/'Liq-Zoot'!$B$21,0)</f>
        <v>0</v>
      </c>
      <c r="F29" s="125"/>
      <c r="G29" s="246" t="str">
        <f t="shared" si="2"/>
        <v/>
      </c>
      <c r="H29" s="496"/>
      <c r="I29" s="63">
        <f>IF('Liq-Zoot'!$E$4&gt;0,H29/'Liq-Zoot'!$E$4,0)</f>
        <v>0</v>
      </c>
      <c r="J29" s="103">
        <f>IF('Liq-Zoot'!$E$21&gt;0,H29/'Liq-Zoot'!$E$21,0)</f>
        <v>0</v>
      </c>
      <c r="K29" s="108"/>
      <c r="L29" s="63">
        <f>IF('Liq-Zoot'!$F$4&gt;0,K29/'Liq-Zoot'!$F$4,0)</f>
        <v>0</v>
      </c>
      <c r="M29" s="103">
        <f>IF('Liq-Zoot'!$F$21&gt;0,K29/'Liq-Zoot'!$F$21,0)</f>
        <v>0</v>
      </c>
      <c r="N29" s="108"/>
      <c r="O29" s="63">
        <f>IF('Liq-Zoot'!$G$4&gt;0,N29/'Liq-Zoot'!$G$4,0)</f>
        <v>0</v>
      </c>
      <c r="P29" s="103">
        <f>IF('Liq-Zoot'!$G$21&gt;0,N29/'Liq-Zoot'!$G$21,0)</f>
        <v>0</v>
      </c>
      <c r="Q29" s="108"/>
      <c r="R29" s="63">
        <f>IF('Liq-Zoot'!$H$4&gt;0,Q29/'Liq-Zoot'!$H$4,0)</f>
        <v>0</v>
      </c>
      <c r="S29" s="103">
        <f>IF('Liq-Zoot'!$H$21&gt;0,Q29/'Liq-Zoot'!$H$21,0)</f>
        <v>0</v>
      </c>
      <c r="T29" s="62"/>
      <c r="U29" s="62"/>
    </row>
    <row r="30" spans="1:21" ht="15.75" x14ac:dyDescent="0.25">
      <c r="A30" s="67" t="s">
        <v>86</v>
      </c>
      <c r="B30" s="119">
        <f t="shared" si="8"/>
        <v>0</v>
      </c>
      <c r="C30" s="90">
        <f>IF('Liq-Zoot'!$B$4&gt;0,B30/'Liq-Zoot'!$B$4,0)</f>
        <v>0</v>
      </c>
      <c r="D30" s="94">
        <f t="shared" si="9"/>
        <v>0</v>
      </c>
      <c r="E30" s="136">
        <f>IF('Liq-Zoot'!$B$21&gt;0,B30/'Liq-Zoot'!$B$21,0)</f>
        <v>0</v>
      </c>
      <c r="F30" s="126"/>
      <c r="G30" s="247" t="str">
        <f t="shared" si="2"/>
        <v/>
      </c>
      <c r="H30" s="112"/>
      <c r="I30" s="90">
        <f>IF('Liq-Zoot'!$E$4&gt;0,H30/'Liq-Zoot'!$E$4,0)</f>
        <v>0</v>
      </c>
      <c r="J30" s="105">
        <f>IF('Liq-Zoot'!$E$21&gt;0,H30/'Liq-Zoot'!$E$21,0)</f>
        <v>0</v>
      </c>
      <c r="K30" s="112"/>
      <c r="L30" s="90">
        <f>IF('Liq-Zoot'!$F$4&gt;0,K30/'Liq-Zoot'!$F$4,0)</f>
        <v>0</v>
      </c>
      <c r="M30" s="105">
        <f>IF('Liq-Zoot'!$F$21&gt;0,K30/'Liq-Zoot'!$F$21,0)</f>
        <v>0</v>
      </c>
      <c r="N30" s="112"/>
      <c r="O30" s="90">
        <f>IF('Liq-Zoot'!$G$4&gt;0,N30/'Liq-Zoot'!$G$4,0)</f>
        <v>0</v>
      </c>
      <c r="P30" s="105">
        <f>IF('Liq-Zoot'!$G$21&gt;0,N30/'Liq-Zoot'!$G$21,0)</f>
        <v>0</v>
      </c>
      <c r="Q30" s="112"/>
      <c r="R30" s="90">
        <f>IF('Liq-Zoot'!$H$4&gt;0,Q30/'Liq-Zoot'!$H$4,0)</f>
        <v>0</v>
      </c>
      <c r="S30" s="105">
        <f>IF('Liq-Zoot'!$H$21&gt;0,Q30/'Liq-Zoot'!$H$21,0)</f>
        <v>0</v>
      </c>
      <c r="T30" s="62"/>
      <c r="U30" s="62"/>
    </row>
    <row r="31" spans="1:21" ht="16.5" thickBot="1" x14ac:dyDescent="0.25">
      <c r="A31" s="68" t="s">
        <v>103</v>
      </c>
      <c r="B31" s="122">
        <f t="shared" si="8"/>
        <v>0</v>
      </c>
      <c r="C31" s="114">
        <f>IF('Liq-Zoot'!$B$4&gt;0,B31/'Liq-Zoot'!$B$4,0)</f>
        <v>0</v>
      </c>
      <c r="D31" s="132">
        <f t="shared" si="9"/>
        <v>0</v>
      </c>
      <c r="E31" s="140">
        <f>IF('Liq-Zoot'!$B$21&gt;0,B31/'Liq-Zoot'!$B$21,0)</f>
        <v>0</v>
      </c>
      <c r="F31" s="128"/>
      <c r="G31" s="251" t="str">
        <f t="shared" si="2"/>
        <v/>
      </c>
      <c r="H31" s="113"/>
      <c r="I31" s="114">
        <f>IF('Liq-Zoot'!$E$4&gt;0,H31/'Liq-Zoot'!$E$4,0)</f>
        <v>0</v>
      </c>
      <c r="J31" s="115">
        <f>IF('Liq-Zoot'!$E$21&gt;0,H31/'Liq-Zoot'!$E$21,0)</f>
        <v>0</v>
      </c>
      <c r="K31" s="113"/>
      <c r="L31" s="114">
        <f>IF('Liq-Zoot'!$F$4&gt;0,K31/'Liq-Zoot'!$F$4,0)</f>
        <v>0</v>
      </c>
      <c r="M31" s="115">
        <f>IF('Liq-Zoot'!$F$21&gt;0,K31/'Liq-Zoot'!$F$21,0)</f>
        <v>0</v>
      </c>
      <c r="N31" s="113"/>
      <c r="O31" s="114">
        <f>IF('Liq-Zoot'!$G$4&gt;0,N31/'Liq-Zoot'!$G$4,0)</f>
        <v>0</v>
      </c>
      <c r="P31" s="115">
        <f>IF('Liq-Zoot'!$G$21&gt;0,N31/'Liq-Zoot'!$G$21,0)</f>
        <v>0</v>
      </c>
      <c r="Q31" s="113"/>
      <c r="R31" s="114">
        <f>IF('Liq-Zoot'!$H$4&gt;0,Q31/'Liq-Zoot'!$H$4,0)</f>
        <v>0</v>
      </c>
      <c r="S31" s="115">
        <f>IF('Liq-Zoot'!$H$21&gt;0,Q31/'Liq-Zoot'!$H$21,0)</f>
        <v>0</v>
      </c>
      <c r="T31" s="62"/>
      <c r="U31" s="62"/>
    </row>
    <row r="32" spans="1:21" ht="13.5" thickBot="1" x14ac:dyDescent="0.25"/>
    <row r="33" spans="1:21" ht="20.25" customHeight="1" x14ac:dyDescent="0.2">
      <c r="A33" s="259" t="s">
        <v>133</v>
      </c>
      <c r="B33" s="262">
        <f t="shared" ref="B33:J33" si="10">B3</f>
        <v>0</v>
      </c>
      <c r="C33" s="263">
        <f t="shared" si="10"/>
        <v>0</v>
      </c>
      <c r="D33" s="264">
        <f t="shared" si="10"/>
        <v>0</v>
      </c>
      <c r="E33" s="736">
        <f t="shared" si="10"/>
        <v>0</v>
      </c>
      <c r="F33" s="263">
        <f t="shared" si="10"/>
        <v>0</v>
      </c>
      <c r="G33" s="747" t="str">
        <f>G3</f>
        <v/>
      </c>
      <c r="H33" s="744">
        <f>H3</f>
        <v>0</v>
      </c>
      <c r="I33" s="263">
        <f t="shared" si="10"/>
        <v>0</v>
      </c>
      <c r="J33" s="750">
        <f t="shared" si="10"/>
        <v>0</v>
      </c>
      <c r="K33" s="752">
        <f t="shared" ref="K33:S33" si="11">K3</f>
        <v>0</v>
      </c>
      <c r="L33" s="263">
        <f t="shared" si="11"/>
        <v>0</v>
      </c>
      <c r="M33" s="737">
        <f t="shared" si="11"/>
        <v>0</v>
      </c>
      <c r="N33" s="744">
        <f t="shared" si="11"/>
        <v>0</v>
      </c>
      <c r="O33" s="263">
        <f t="shared" si="11"/>
        <v>0</v>
      </c>
      <c r="P33" s="750">
        <f t="shared" si="11"/>
        <v>0</v>
      </c>
      <c r="Q33" s="752">
        <f t="shared" si="11"/>
        <v>0</v>
      </c>
      <c r="R33" s="263">
        <f t="shared" si="11"/>
        <v>0</v>
      </c>
      <c r="S33" s="737">
        <f t="shared" si="11"/>
        <v>0</v>
      </c>
      <c r="T33" s="62"/>
      <c r="U33" s="62"/>
    </row>
    <row r="34" spans="1:21" ht="18.75" x14ac:dyDescent="0.2">
      <c r="A34" s="260" t="s">
        <v>134</v>
      </c>
      <c r="B34" s="273">
        <f>E34*'Liq-Zoot'!B21</f>
        <v>0</v>
      </c>
      <c r="C34" s="256">
        <f>IF('Liq-Zoot'!$B$4&gt;0,B34/'Liq-Zoot'!$B$4,0)</f>
        <v>0</v>
      </c>
      <c r="D34" s="257">
        <f>IF(E$3&gt;0,E34/E$3,0)</f>
        <v>0</v>
      </c>
      <c r="E34" s="272"/>
      <c r="F34" s="274"/>
      <c r="G34" s="748" t="str">
        <f>IF(AND(E34&gt;0,F34&gt;0),(E34-F34)/F34*100,"")</f>
        <v/>
      </c>
      <c r="H34" s="745">
        <f>IF('Liq-Zoot'!$B$21&gt;0,$B$34*'Liq-Zoot'!E21/'Liq-Zoot'!$B$21,0)</f>
        <v>0</v>
      </c>
      <c r="I34" s="256">
        <f>IF('Liq-Zoot'!$E$4&gt;0,H34/'Liq-Zoot'!$E$4,0)</f>
        <v>0</v>
      </c>
      <c r="J34" s="258">
        <f>IF('Liq-Zoot'!$E$21&gt;0,H34/'Liq-Zoot'!$E$21,0)</f>
        <v>0</v>
      </c>
      <c r="K34" s="265">
        <f>IF('Liq-Zoot'!$B$21&gt;0,$B$34*'Liq-Zoot'!F21/'Liq-Zoot'!$B$21,0)</f>
        <v>0</v>
      </c>
      <c r="L34" s="256">
        <f>IF('Liq-Zoot'!$F$4&gt;0,K34/'Liq-Zoot'!$F$4,0)</f>
        <v>0</v>
      </c>
      <c r="M34" s="738">
        <f>IF('Liq-Zoot'!$F$21&gt;0,K34/'Liq-Zoot'!$F$21,0)</f>
        <v>0</v>
      </c>
      <c r="N34" s="745">
        <f>IF('Liq-Zoot'!$B$21&gt;0,$B$34*'Liq-Zoot'!G21/'Liq-Zoot'!$B$21,0)</f>
        <v>0</v>
      </c>
      <c r="O34" s="256">
        <f>IF('Liq-Zoot'!$G$4&gt;0,N34/'Liq-Zoot'!$G$4,0)</f>
        <v>0</v>
      </c>
      <c r="P34" s="258">
        <f>IF('Liq-Zoot'!$G$21&gt;0,N34/'Liq-Zoot'!$G$21,0)</f>
        <v>0</v>
      </c>
      <c r="Q34" s="265">
        <f>IF('Liq-Zoot'!$B$21&gt;0,$B$34*'Liq-Zoot'!H21/'Liq-Zoot'!$B$21,0)</f>
        <v>0</v>
      </c>
      <c r="R34" s="256">
        <f>IF('Liq-Zoot'!$H$4&gt;0,Q34/'Liq-Zoot'!$H$4,0)</f>
        <v>0</v>
      </c>
      <c r="S34" s="738">
        <f>IF('Liq-Zoot'!$H$21&gt;0,Q34/'Liq-Zoot'!$H$21,0)</f>
        <v>0</v>
      </c>
      <c r="T34" s="62"/>
      <c r="U34" s="62"/>
    </row>
    <row r="35" spans="1:21" ht="19.5" thickBot="1" x14ac:dyDescent="0.25">
      <c r="A35" s="261" t="s">
        <v>135</v>
      </c>
      <c r="B35" s="739">
        <f>IF(B3&gt;0,B34-B3,0)</f>
        <v>0</v>
      </c>
      <c r="C35" s="740">
        <f>IF(C3&gt;0,C34-C3,0)</f>
        <v>0</v>
      </c>
      <c r="D35" s="741">
        <f>IF(D3&gt;0,D34-D3,0)</f>
        <v>0</v>
      </c>
      <c r="E35" s="742">
        <f>IF(E3&gt;0,E34-E3,0)</f>
        <v>0</v>
      </c>
      <c r="F35" s="740">
        <f>IF(F3&gt;0,F34-F3,0)</f>
        <v>0</v>
      </c>
      <c r="G35" s="749" t="str">
        <f>IF(AND(E35&gt;0,F35&gt;0),(E35-F35)/F35*100,"")</f>
        <v/>
      </c>
      <c r="H35" s="746">
        <f t="shared" ref="H35:J35" si="12">IF(H3&gt;0,H34-H3,0)</f>
        <v>0</v>
      </c>
      <c r="I35" s="740">
        <f t="shared" si="12"/>
        <v>0</v>
      </c>
      <c r="J35" s="751">
        <f t="shared" si="12"/>
        <v>0</v>
      </c>
      <c r="K35" s="742">
        <f t="shared" ref="K35:S35" si="13">IF(K3&gt;0,K34-K3,0)</f>
        <v>0</v>
      </c>
      <c r="L35" s="740">
        <f t="shared" si="13"/>
        <v>0</v>
      </c>
      <c r="M35" s="743">
        <f t="shared" si="13"/>
        <v>0</v>
      </c>
      <c r="N35" s="746">
        <f t="shared" si="13"/>
        <v>0</v>
      </c>
      <c r="O35" s="740">
        <f t="shared" si="13"/>
        <v>0</v>
      </c>
      <c r="P35" s="751">
        <f t="shared" si="13"/>
        <v>0</v>
      </c>
      <c r="Q35" s="742">
        <f t="shared" si="13"/>
        <v>0</v>
      </c>
      <c r="R35" s="740">
        <f t="shared" si="13"/>
        <v>0</v>
      </c>
      <c r="S35" s="743">
        <f t="shared" si="13"/>
        <v>0</v>
      </c>
      <c r="T35" s="62"/>
      <c r="U35" s="62"/>
    </row>
    <row r="36" spans="1:21" x14ac:dyDescent="0.2"/>
    <row r="37" spans="1:21" x14ac:dyDescent="0.2"/>
  </sheetData>
  <sheetProtection algorithmName="SHA-512" hashValue="bKZpN4+EEeY9D+AoXc4qAw+KBRTWgM4pgVOwGeRXPmPy2Oy/cpmIJryYiwnTpUf82kW0A37z+D5s6CZ4bt6T2A==" saltValue="nBkbDk4sOTwT5YaKb2PuRw==" spinCount="100000" sheet="1" objects="1" scenarios="1" formatColumns="0" autoFilter="0" pivotTables="0"/>
  <autoFilter ref="A4:A31" xr:uid="{00000000-0009-0000-0000-000007000000}"/>
  <sortState xmlns:xlrd2="http://schemas.microsoft.com/office/spreadsheetml/2017/richdata2" ref="A25:M28">
    <sortCondition descending="1" ref="D25:D28"/>
  </sortState>
  <mergeCells count="6">
    <mergeCell ref="Q2:S2"/>
    <mergeCell ref="H2:J2"/>
    <mergeCell ref="K2:M2"/>
    <mergeCell ref="B2:G2"/>
    <mergeCell ref="A1:A3"/>
    <mergeCell ref="N2:P2"/>
  </mergeCells>
  <conditionalFormatting sqref="J5:J31 M5:M31">
    <cfRule type="expression" dxfId="2" priority="4">
      <formula>AND(J5&gt;$E5)</formula>
    </cfRule>
  </conditionalFormatting>
  <conditionalFormatting sqref="P5:P31">
    <cfRule type="expression" dxfId="1" priority="2">
      <formula>AND(P5&gt;$E5)</formula>
    </cfRule>
  </conditionalFormatting>
  <conditionalFormatting sqref="S5:S31">
    <cfRule type="expression" dxfId="0" priority="1">
      <formula>AND(S5&gt;$E5)</formula>
    </cfRule>
  </conditionalFormatting>
  <dataValidations count="1">
    <dataValidation type="list" allowBlank="1" showInputMessage="1" showErrorMessage="1" sqref="A25" xr:uid="{00000000-0002-0000-0700-000000000000}">
      <formula1>"Gerente / Dir Sanidad,Gerente / Dir Producción,Asesor Técnico,Médico Veterinario,Responsable Técnico"</formula1>
    </dataValidation>
  </dataValidations>
  <pageMargins left="0.7" right="0.7" top="0.75" bottom="0.75" header="0.3" footer="0.3"/>
  <pageSetup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F05C9-4C0C-4626-ABD4-E0947E8167E1}">
  <sheetPr codeName="Hoja1"/>
  <dimension ref="B1:AF61"/>
  <sheetViews>
    <sheetView showGridLines="0" showRowColHeaders="0" workbookViewId="0">
      <pane xSplit="2" ySplit="3" topLeftCell="O4" activePane="bottomRight" state="frozen"/>
      <selection pane="topRight" activeCell="C1" sqref="C1"/>
      <selection pane="bottomLeft" activeCell="A4" sqref="A4"/>
      <selection pane="bottomRight" activeCell="O4" sqref="O4"/>
    </sheetView>
  </sheetViews>
  <sheetFormatPr baseColWidth="10" defaultColWidth="12" defaultRowHeight="12.75" x14ac:dyDescent="0.2"/>
  <cols>
    <col min="1" max="1" width="4" style="706" customWidth="1"/>
    <col min="2" max="2" width="10.1640625" style="706" customWidth="1"/>
    <col min="3" max="3" width="10.1640625" style="706" bestFit="1" customWidth="1"/>
    <col min="4" max="4" width="9.83203125" style="706" bestFit="1" customWidth="1"/>
    <col min="5" max="5" width="10" style="706" bestFit="1" customWidth="1"/>
    <col min="6" max="6" width="9.6640625" style="706" bestFit="1" customWidth="1"/>
    <col min="7" max="7" width="11.33203125" style="706" bestFit="1" customWidth="1"/>
    <col min="8" max="8" width="11.1640625" style="706" customWidth="1"/>
    <col min="9" max="9" width="10.1640625" style="706" bestFit="1" customWidth="1"/>
    <col min="10" max="10" width="9.83203125" style="706" bestFit="1" customWidth="1"/>
    <col min="11" max="11" width="10" style="706" bestFit="1" customWidth="1"/>
    <col min="12" max="12" width="9.6640625" style="706" bestFit="1" customWidth="1"/>
    <col min="13" max="13" width="11.33203125" style="706" bestFit="1" customWidth="1"/>
    <col min="14" max="14" width="11.83203125" style="706" customWidth="1"/>
    <col min="15" max="15" width="10.1640625" style="706" bestFit="1" customWidth="1"/>
    <col min="16" max="16" width="9.83203125" style="706" bestFit="1" customWidth="1"/>
    <col min="17" max="17" width="10" style="706" bestFit="1" customWidth="1"/>
    <col min="18" max="18" width="9.6640625" style="706" bestFit="1" customWidth="1"/>
    <col min="19" max="19" width="11.33203125" style="706" bestFit="1" customWidth="1"/>
    <col min="20" max="20" width="12" style="706" customWidth="1"/>
    <col min="21" max="21" width="10.1640625" style="706" bestFit="1" customWidth="1"/>
    <col min="22" max="22" width="9.83203125" style="706" bestFit="1" customWidth="1"/>
    <col min="23" max="23" width="10" style="706" bestFit="1" customWidth="1"/>
    <col min="24" max="24" width="9.6640625" style="706" bestFit="1" customWidth="1"/>
    <col min="25" max="25" width="11.33203125" style="706" bestFit="1" customWidth="1"/>
    <col min="26" max="26" width="12" style="706" customWidth="1"/>
    <col min="27" max="27" width="10.1640625" style="706" bestFit="1" customWidth="1"/>
    <col min="28" max="28" width="9.83203125" style="706" bestFit="1" customWidth="1"/>
    <col min="29" max="29" width="10" style="706" bestFit="1" customWidth="1"/>
    <col min="30" max="30" width="9.6640625" style="706" bestFit="1" customWidth="1"/>
    <col min="31" max="31" width="11.33203125" style="706" bestFit="1" customWidth="1"/>
    <col min="32" max="32" width="11.5" style="706" customWidth="1"/>
    <col min="33" max="16384" width="12" style="706"/>
  </cols>
  <sheetData>
    <row r="1" spans="2:32" ht="13.5" thickBot="1" x14ac:dyDescent="0.25"/>
    <row r="2" spans="2:32" ht="15.75" x14ac:dyDescent="0.25">
      <c r="B2" s="707" t="s">
        <v>130</v>
      </c>
      <c r="C2" s="753" t="s">
        <v>39</v>
      </c>
      <c r="D2" s="754"/>
      <c r="E2" s="754"/>
      <c r="F2" s="754"/>
      <c r="G2" s="754"/>
      <c r="H2" s="755"/>
      <c r="I2" s="985" t="s">
        <v>40</v>
      </c>
      <c r="J2" s="986"/>
      <c r="K2" s="986"/>
      <c r="L2" s="986"/>
      <c r="M2" s="986"/>
      <c r="N2" s="987"/>
      <c r="O2" s="985" t="s">
        <v>189</v>
      </c>
      <c r="P2" s="986"/>
      <c r="Q2" s="986"/>
      <c r="R2" s="986"/>
      <c r="S2" s="986"/>
      <c r="T2" s="987"/>
      <c r="U2" s="985" t="s">
        <v>131</v>
      </c>
      <c r="V2" s="986"/>
      <c r="W2" s="986"/>
      <c r="X2" s="986"/>
      <c r="Y2" s="986"/>
      <c r="Z2" s="987"/>
      <c r="AA2" s="985" t="s">
        <v>132</v>
      </c>
      <c r="AB2" s="986"/>
      <c r="AC2" s="986"/>
      <c r="AD2" s="986"/>
      <c r="AE2" s="986"/>
      <c r="AF2" s="987"/>
    </row>
    <row r="3" spans="2:32" ht="15.75" thickBot="1" x14ac:dyDescent="0.3">
      <c r="B3" s="708" t="s">
        <v>190</v>
      </c>
      <c r="C3" s="709" t="s">
        <v>191</v>
      </c>
      <c r="D3" s="710" t="s">
        <v>192</v>
      </c>
      <c r="E3" s="711" t="s">
        <v>193</v>
      </c>
      <c r="F3" s="712" t="s">
        <v>194</v>
      </c>
      <c r="G3" s="713" t="s">
        <v>195</v>
      </c>
      <c r="H3" s="714" t="s">
        <v>196</v>
      </c>
      <c r="I3" s="709" t="str">
        <f>$C$3</f>
        <v>Cons M</v>
      </c>
      <c r="J3" s="710" t="str">
        <f>$D$3</f>
        <v>Cons H</v>
      </c>
      <c r="K3" s="711" t="str">
        <f>$E$3</f>
        <v>Peso M</v>
      </c>
      <c r="L3" s="712" t="str">
        <f>$F$3</f>
        <v>Peso H</v>
      </c>
      <c r="M3" s="713" t="str">
        <f>$G$3</f>
        <v>Mort Sem</v>
      </c>
      <c r="N3" s="714" t="str">
        <f>$H$3</f>
        <v>Mort Acu</v>
      </c>
      <c r="O3" s="709" t="str">
        <f t="shared" ref="O3" si="0">$C$3</f>
        <v>Cons M</v>
      </c>
      <c r="P3" s="710" t="str">
        <f t="shared" ref="P3" si="1">$D$3</f>
        <v>Cons H</v>
      </c>
      <c r="Q3" s="711" t="str">
        <f t="shared" ref="Q3" si="2">$E$3</f>
        <v>Peso M</v>
      </c>
      <c r="R3" s="712" t="str">
        <f t="shared" ref="R3" si="3">$F$3</f>
        <v>Peso H</v>
      </c>
      <c r="S3" s="713" t="str">
        <f t="shared" ref="S3" si="4">$G$3</f>
        <v>Mort Sem</v>
      </c>
      <c r="T3" s="714" t="str">
        <f t="shared" ref="T3" si="5">$H$3</f>
        <v>Mort Acu</v>
      </c>
      <c r="U3" s="709" t="str">
        <f t="shared" ref="U3" si="6">$C$3</f>
        <v>Cons M</v>
      </c>
      <c r="V3" s="710" t="str">
        <f t="shared" ref="V3" si="7">$D$3</f>
        <v>Cons H</v>
      </c>
      <c r="W3" s="711" t="str">
        <f t="shared" ref="W3" si="8">$E$3</f>
        <v>Peso M</v>
      </c>
      <c r="X3" s="712" t="str">
        <f t="shared" ref="X3" si="9">$F$3</f>
        <v>Peso H</v>
      </c>
      <c r="Y3" s="713" t="str">
        <f t="shared" ref="Y3" si="10">$G$3</f>
        <v>Mort Sem</v>
      </c>
      <c r="Z3" s="714" t="str">
        <f t="shared" ref="Z3" si="11">$H$3</f>
        <v>Mort Acu</v>
      </c>
      <c r="AA3" s="709" t="str">
        <f t="shared" ref="AA3" si="12">$C$3</f>
        <v>Cons M</v>
      </c>
      <c r="AB3" s="710" t="str">
        <f t="shared" ref="AB3" si="13">$D$3</f>
        <v>Cons H</v>
      </c>
      <c r="AC3" s="711" t="str">
        <f t="shared" ref="AC3" si="14">$E$3</f>
        <v>Peso M</v>
      </c>
      <c r="AD3" s="712" t="str">
        <f t="shared" ref="AD3" si="15">$F$3</f>
        <v>Peso H</v>
      </c>
      <c r="AE3" s="713" t="str">
        <f t="shared" ref="AE3" si="16">$G$3</f>
        <v>Mort Sem</v>
      </c>
      <c r="AF3" s="714" t="str">
        <f t="shared" ref="AF3" si="17">$H$3</f>
        <v>Mort Acu</v>
      </c>
    </row>
    <row r="4" spans="2:32" ht="13.5" thickTop="1" x14ac:dyDescent="0.2">
      <c r="B4" s="715">
        <v>1</v>
      </c>
      <c r="C4" s="716">
        <v>13</v>
      </c>
      <c r="D4" s="717">
        <v>13</v>
      </c>
      <c r="E4" s="718">
        <v>27</v>
      </c>
      <c r="F4" s="719">
        <v>26</v>
      </c>
      <c r="G4" s="720">
        <f>H4</f>
        <v>1.4285714285714286E-3</v>
      </c>
      <c r="H4" s="721">
        <f>H10/7</f>
        <v>1.4285714285714286E-3</v>
      </c>
      <c r="I4" s="716">
        <v>12</v>
      </c>
      <c r="J4" s="717">
        <v>14</v>
      </c>
      <c r="K4" s="718">
        <v>27</v>
      </c>
      <c r="L4" s="719">
        <v>27</v>
      </c>
      <c r="M4" s="720">
        <f>N4</f>
        <v>1.4285714285714286E-3</v>
      </c>
      <c r="N4" s="721">
        <f>N10/7</f>
        <v>1.4285714285714286E-3</v>
      </c>
      <c r="O4" s="716">
        <v>13</v>
      </c>
      <c r="P4" s="717">
        <v>15</v>
      </c>
      <c r="Q4" s="718">
        <v>61</v>
      </c>
      <c r="R4" s="719">
        <v>62</v>
      </c>
      <c r="S4" s="720">
        <f>T4</f>
        <v>1.4285714285714286E-3</v>
      </c>
      <c r="T4" s="721">
        <f>T10/7</f>
        <v>1.4285714285714286E-3</v>
      </c>
      <c r="U4" s="716">
        <v>12</v>
      </c>
      <c r="V4" s="717">
        <v>13</v>
      </c>
      <c r="W4" s="718">
        <v>25</v>
      </c>
      <c r="X4" s="719">
        <v>25</v>
      </c>
      <c r="Y4" s="720">
        <f>Z4</f>
        <v>1.4285714285714286E-3</v>
      </c>
      <c r="Z4" s="721">
        <f>Z10/7</f>
        <v>1.4285714285714286E-3</v>
      </c>
      <c r="AA4" s="716">
        <v>11</v>
      </c>
      <c r="AB4" s="717">
        <v>12</v>
      </c>
      <c r="AC4" s="718">
        <v>24</v>
      </c>
      <c r="AD4" s="719">
        <v>24</v>
      </c>
      <c r="AE4" s="720">
        <f>AF4</f>
        <v>1.4285714285714286E-3</v>
      </c>
      <c r="AF4" s="721">
        <f>AF10/7</f>
        <v>1.4285714285714286E-3</v>
      </c>
    </row>
    <row r="5" spans="2:32" x14ac:dyDescent="0.2">
      <c r="B5" s="715">
        <f>B4+1</f>
        <v>2</v>
      </c>
      <c r="C5" s="722">
        <v>17</v>
      </c>
      <c r="D5" s="723">
        <v>17</v>
      </c>
      <c r="E5" s="724">
        <v>53</v>
      </c>
      <c r="F5" s="725">
        <v>53</v>
      </c>
      <c r="G5" s="726">
        <f>H5-H4</f>
        <v>1.4285714285714286E-3</v>
      </c>
      <c r="H5" s="727">
        <f>H4+H10/7</f>
        <v>2.8571428571428571E-3</v>
      </c>
      <c r="I5" s="722">
        <v>16</v>
      </c>
      <c r="J5" s="723">
        <v>18</v>
      </c>
      <c r="K5" s="724">
        <v>54</v>
      </c>
      <c r="L5" s="725">
        <v>54</v>
      </c>
      <c r="M5" s="726">
        <f>N5-N4</f>
        <v>1.4285714285714286E-3</v>
      </c>
      <c r="N5" s="727">
        <f>N4+N10/7</f>
        <v>2.8571428571428571E-3</v>
      </c>
      <c r="O5" s="722">
        <v>15</v>
      </c>
      <c r="P5" s="723">
        <v>17</v>
      </c>
      <c r="Q5" s="724">
        <v>79</v>
      </c>
      <c r="R5" s="725">
        <v>81</v>
      </c>
      <c r="S5" s="726">
        <f>T5-T4</f>
        <v>1.4285714285714286E-3</v>
      </c>
      <c r="T5" s="727">
        <f>T4+T10/7</f>
        <v>2.8571428571428571E-3</v>
      </c>
      <c r="U5" s="722">
        <v>16</v>
      </c>
      <c r="V5" s="723">
        <v>17</v>
      </c>
      <c r="W5" s="724">
        <v>51</v>
      </c>
      <c r="X5" s="725">
        <v>50</v>
      </c>
      <c r="Y5" s="726">
        <f>Z5-Z4</f>
        <v>1.4285714285714286E-3</v>
      </c>
      <c r="Z5" s="727">
        <f>Z4+Z10/7</f>
        <v>2.8571428571428571E-3</v>
      </c>
      <c r="AA5" s="722">
        <v>15</v>
      </c>
      <c r="AB5" s="723">
        <v>16</v>
      </c>
      <c r="AC5" s="724">
        <v>48</v>
      </c>
      <c r="AD5" s="725">
        <v>48</v>
      </c>
      <c r="AE5" s="726">
        <f>AF5-AF4</f>
        <v>1.4285714285714286E-3</v>
      </c>
      <c r="AF5" s="727">
        <f>AF4+AF10/7</f>
        <v>2.8571428571428571E-3</v>
      </c>
    </row>
    <row r="6" spans="2:32" x14ac:dyDescent="0.2">
      <c r="B6" s="715">
        <f t="shared" ref="B6:B59" si="18">B5+1</f>
        <v>3</v>
      </c>
      <c r="C6" s="722">
        <v>21</v>
      </c>
      <c r="D6" s="723">
        <v>21</v>
      </c>
      <c r="E6" s="724">
        <v>80</v>
      </c>
      <c r="F6" s="725">
        <v>79</v>
      </c>
      <c r="G6" s="726">
        <f>H6-H5</f>
        <v>1.4285714285714288E-3</v>
      </c>
      <c r="H6" s="727">
        <f>H5+H10/7</f>
        <v>4.2857142857142859E-3</v>
      </c>
      <c r="I6" s="722">
        <v>19</v>
      </c>
      <c r="J6" s="723">
        <v>21</v>
      </c>
      <c r="K6" s="724">
        <v>81</v>
      </c>
      <c r="L6" s="725">
        <v>81</v>
      </c>
      <c r="M6" s="726">
        <f t="shared" ref="M6:M58" si="19">N6-N5</f>
        <v>1.4285714285714288E-3</v>
      </c>
      <c r="N6" s="727">
        <f>N5+N10/7</f>
        <v>4.2857142857142859E-3</v>
      </c>
      <c r="O6" s="722">
        <v>19</v>
      </c>
      <c r="P6" s="723">
        <v>21</v>
      </c>
      <c r="Q6" s="724">
        <v>100</v>
      </c>
      <c r="R6" s="725">
        <v>102</v>
      </c>
      <c r="S6" s="726">
        <f t="shared" ref="S6:S58" si="20">T6-T5</f>
        <v>1.4285714285714288E-3</v>
      </c>
      <c r="T6" s="727">
        <f>T5+T10/7</f>
        <v>4.2857142857142859E-3</v>
      </c>
      <c r="U6" s="722">
        <v>19</v>
      </c>
      <c r="V6" s="723">
        <v>20</v>
      </c>
      <c r="W6" s="724">
        <v>76</v>
      </c>
      <c r="X6" s="725">
        <v>76</v>
      </c>
      <c r="Y6" s="726">
        <f t="shared" ref="Y6:Y58" si="21">Z6-Z5</f>
        <v>1.4285714285714288E-3</v>
      </c>
      <c r="Z6" s="727">
        <f>Z5+Z10/7</f>
        <v>4.2857142857142859E-3</v>
      </c>
      <c r="AA6" s="722">
        <v>18</v>
      </c>
      <c r="AB6" s="723">
        <v>19</v>
      </c>
      <c r="AC6" s="724">
        <v>72</v>
      </c>
      <c r="AD6" s="725">
        <v>72</v>
      </c>
      <c r="AE6" s="726">
        <f t="shared" ref="AE6:AE58" si="22">AF6-AF5</f>
        <v>1.4285714285714288E-3</v>
      </c>
      <c r="AF6" s="727">
        <f>AF5+AF10/7</f>
        <v>4.2857142857142859E-3</v>
      </c>
    </row>
    <row r="7" spans="2:32" x14ac:dyDescent="0.2">
      <c r="B7" s="715">
        <f t="shared" si="18"/>
        <v>4</v>
      </c>
      <c r="C7" s="722">
        <v>23</v>
      </c>
      <c r="D7" s="723">
        <v>23</v>
      </c>
      <c r="E7" s="724">
        <v>106</v>
      </c>
      <c r="F7" s="725">
        <v>105</v>
      </c>
      <c r="G7" s="726">
        <f>H7-H6</f>
        <v>1.4285714285714284E-3</v>
      </c>
      <c r="H7" s="727">
        <f>H6+H10/7</f>
        <v>5.7142857142857143E-3</v>
      </c>
      <c r="I7" s="722">
        <v>23</v>
      </c>
      <c r="J7" s="723">
        <v>24</v>
      </c>
      <c r="K7" s="724">
        <v>108</v>
      </c>
      <c r="L7" s="725">
        <v>107</v>
      </c>
      <c r="M7" s="726">
        <f t="shared" si="19"/>
        <v>1.4285714285714284E-3</v>
      </c>
      <c r="N7" s="727">
        <f>N6+N10/7</f>
        <v>5.7142857142857143E-3</v>
      </c>
      <c r="O7" s="722">
        <v>23</v>
      </c>
      <c r="P7" s="723">
        <v>24</v>
      </c>
      <c r="Q7" s="724">
        <v>124</v>
      </c>
      <c r="R7" s="725">
        <v>126</v>
      </c>
      <c r="S7" s="726">
        <f t="shared" si="20"/>
        <v>1.4285714285714284E-3</v>
      </c>
      <c r="T7" s="727">
        <f>T6+T10/7</f>
        <v>5.7142857142857143E-3</v>
      </c>
      <c r="U7" s="722">
        <v>22</v>
      </c>
      <c r="V7" s="723">
        <v>22</v>
      </c>
      <c r="W7" s="724">
        <v>102</v>
      </c>
      <c r="X7" s="725">
        <v>101</v>
      </c>
      <c r="Y7" s="726">
        <f t="shared" si="21"/>
        <v>1.4285714285714284E-3</v>
      </c>
      <c r="Z7" s="727">
        <f>Z6+Z10/7</f>
        <v>5.7142857142857143E-3</v>
      </c>
      <c r="AA7" s="722">
        <v>21</v>
      </c>
      <c r="AB7" s="723">
        <v>21</v>
      </c>
      <c r="AC7" s="724">
        <v>96</v>
      </c>
      <c r="AD7" s="725">
        <v>96</v>
      </c>
      <c r="AE7" s="726">
        <f t="shared" si="22"/>
        <v>1.4285714285714284E-3</v>
      </c>
      <c r="AF7" s="727">
        <f>AF6+AF10/7</f>
        <v>5.7142857142857143E-3</v>
      </c>
    </row>
    <row r="8" spans="2:32" x14ac:dyDescent="0.2">
      <c r="B8" s="715">
        <f t="shared" si="18"/>
        <v>5</v>
      </c>
      <c r="C8" s="722">
        <v>27</v>
      </c>
      <c r="D8" s="723">
        <v>27</v>
      </c>
      <c r="E8" s="724">
        <v>133</v>
      </c>
      <c r="F8" s="725">
        <v>131</v>
      </c>
      <c r="G8" s="726">
        <f>H8-H7</f>
        <v>1.4285714285714284E-3</v>
      </c>
      <c r="H8" s="727">
        <f>H7+H10/7</f>
        <v>7.1428571428571426E-3</v>
      </c>
      <c r="I8" s="722">
        <v>27</v>
      </c>
      <c r="J8" s="723">
        <v>27</v>
      </c>
      <c r="K8" s="724">
        <v>135</v>
      </c>
      <c r="L8" s="725">
        <v>134</v>
      </c>
      <c r="M8" s="726">
        <f t="shared" si="19"/>
        <v>1.4285714285714284E-3</v>
      </c>
      <c r="N8" s="727">
        <f>N7+N10/7</f>
        <v>7.1428571428571426E-3</v>
      </c>
      <c r="O8" s="722">
        <v>27</v>
      </c>
      <c r="P8" s="723">
        <v>28</v>
      </c>
      <c r="Q8" s="724">
        <v>150</v>
      </c>
      <c r="R8" s="725">
        <v>152</v>
      </c>
      <c r="S8" s="726">
        <f t="shared" si="20"/>
        <v>1.4285714285714284E-3</v>
      </c>
      <c r="T8" s="727">
        <f>T7+T10/7</f>
        <v>7.1428571428571426E-3</v>
      </c>
      <c r="U8" s="722">
        <v>26</v>
      </c>
      <c r="V8" s="723">
        <v>26</v>
      </c>
      <c r="W8" s="724">
        <v>127</v>
      </c>
      <c r="X8" s="725">
        <v>126</v>
      </c>
      <c r="Y8" s="726">
        <f t="shared" si="21"/>
        <v>1.4285714285714284E-3</v>
      </c>
      <c r="Z8" s="727">
        <f>Z7+Z10/7</f>
        <v>7.1428571428571426E-3</v>
      </c>
      <c r="AA8" s="722">
        <v>24</v>
      </c>
      <c r="AB8" s="723">
        <v>24</v>
      </c>
      <c r="AC8" s="724">
        <v>121</v>
      </c>
      <c r="AD8" s="725">
        <v>120</v>
      </c>
      <c r="AE8" s="726">
        <f t="shared" si="22"/>
        <v>1.4285714285714284E-3</v>
      </c>
      <c r="AF8" s="727">
        <f>AF7+AF10/7</f>
        <v>7.1428571428571426E-3</v>
      </c>
    </row>
    <row r="9" spans="2:32" x14ac:dyDescent="0.2">
      <c r="B9" s="715">
        <f t="shared" si="18"/>
        <v>6</v>
      </c>
      <c r="C9" s="722">
        <v>31</v>
      </c>
      <c r="D9" s="723">
        <v>31</v>
      </c>
      <c r="E9" s="724">
        <v>159</v>
      </c>
      <c r="F9" s="725">
        <v>158</v>
      </c>
      <c r="G9" s="726">
        <f t="shared" ref="G9:G58" si="23">H9-H8</f>
        <v>1.4285714285714292E-3</v>
      </c>
      <c r="H9" s="727">
        <f>H8+H10/7</f>
        <v>8.5714285714285719E-3</v>
      </c>
      <c r="I9" s="722">
        <v>31</v>
      </c>
      <c r="J9" s="723">
        <v>31</v>
      </c>
      <c r="K9" s="724">
        <v>162</v>
      </c>
      <c r="L9" s="725">
        <v>161</v>
      </c>
      <c r="M9" s="726">
        <f t="shared" si="19"/>
        <v>1.4285714285714292E-3</v>
      </c>
      <c r="N9" s="727">
        <f>N8+N10/7</f>
        <v>8.5714285714285719E-3</v>
      </c>
      <c r="O9" s="722">
        <v>31</v>
      </c>
      <c r="P9" s="723">
        <v>31</v>
      </c>
      <c r="Q9" s="724">
        <v>180</v>
      </c>
      <c r="R9" s="725">
        <v>181</v>
      </c>
      <c r="S9" s="726">
        <f t="shared" si="20"/>
        <v>1.4285714285714292E-3</v>
      </c>
      <c r="T9" s="727">
        <f>T8+T10/7</f>
        <v>8.5714285714285719E-3</v>
      </c>
      <c r="U9" s="722">
        <v>29</v>
      </c>
      <c r="V9" s="723">
        <v>29</v>
      </c>
      <c r="W9" s="724">
        <v>153</v>
      </c>
      <c r="X9" s="725">
        <v>151</v>
      </c>
      <c r="Y9" s="726">
        <f t="shared" si="21"/>
        <v>1.4285714285714292E-3</v>
      </c>
      <c r="Z9" s="727">
        <f>Z8+Z10/7</f>
        <v>8.5714285714285719E-3</v>
      </c>
      <c r="AA9" s="722">
        <v>28</v>
      </c>
      <c r="AB9" s="723">
        <v>28</v>
      </c>
      <c r="AC9" s="724">
        <v>145</v>
      </c>
      <c r="AD9" s="725">
        <v>143</v>
      </c>
      <c r="AE9" s="726">
        <f t="shared" si="22"/>
        <v>1.4285714285714292E-3</v>
      </c>
      <c r="AF9" s="727">
        <f>AF8+AF10/7</f>
        <v>8.5714285714285719E-3</v>
      </c>
    </row>
    <row r="10" spans="2:32" x14ac:dyDescent="0.2">
      <c r="B10" s="715">
        <f t="shared" si="18"/>
        <v>7</v>
      </c>
      <c r="C10" s="722">
        <v>35</v>
      </c>
      <c r="D10" s="723">
        <v>35</v>
      </c>
      <c r="E10" s="724">
        <v>186</v>
      </c>
      <c r="F10" s="725">
        <v>184</v>
      </c>
      <c r="G10" s="726">
        <f t="shared" si="23"/>
        <v>1.4285714285714284E-3</v>
      </c>
      <c r="H10" s="728">
        <v>0.01</v>
      </c>
      <c r="I10" s="722">
        <v>35</v>
      </c>
      <c r="J10" s="723">
        <v>34</v>
      </c>
      <c r="K10" s="724">
        <v>189</v>
      </c>
      <c r="L10" s="725">
        <v>188</v>
      </c>
      <c r="M10" s="726">
        <f t="shared" si="19"/>
        <v>1.4285714285714284E-3</v>
      </c>
      <c r="N10" s="728">
        <v>0.01</v>
      </c>
      <c r="O10" s="722">
        <v>35</v>
      </c>
      <c r="P10" s="723">
        <v>35</v>
      </c>
      <c r="Q10" s="724">
        <v>213</v>
      </c>
      <c r="R10" s="725">
        <v>214</v>
      </c>
      <c r="S10" s="726">
        <f t="shared" si="20"/>
        <v>1.4285714285714284E-3</v>
      </c>
      <c r="T10" s="728">
        <v>0.01</v>
      </c>
      <c r="U10" s="722">
        <v>33</v>
      </c>
      <c r="V10" s="723">
        <v>33</v>
      </c>
      <c r="W10" s="724">
        <v>178</v>
      </c>
      <c r="X10" s="725">
        <v>177</v>
      </c>
      <c r="Y10" s="726">
        <f t="shared" si="21"/>
        <v>1.4285714285714284E-3</v>
      </c>
      <c r="Z10" s="728">
        <v>0.01</v>
      </c>
      <c r="AA10" s="722">
        <v>32</v>
      </c>
      <c r="AB10" s="723">
        <v>31</v>
      </c>
      <c r="AC10" s="724">
        <v>169</v>
      </c>
      <c r="AD10" s="725">
        <v>167</v>
      </c>
      <c r="AE10" s="726">
        <f t="shared" si="22"/>
        <v>1.4285714285714284E-3</v>
      </c>
      <c r="AF10" s="728">
        <v>0.01</v>
      </c>
    </row>
    <row r="11" spans="2:32" x14ac:dyDescent="0.2">
      <c r="B11" s="715">
        <f t="shared" si="18"/>
        <v>8</v>
      </c>
      <c r="C11" s="722">
        <v>39</v>
      </c>
      <c r="D11" s="723">
        <v>37</v>
      </c>
      <c r="E11" s="724">
        <v>227</v>
      </c>
      <c r="F11" s="725">
        <v>223</v>
      </c>
      <c r="G11" s="726">
        <f t="shared" si="23"/>
        <v>1.0000000000000009E-3</v>
      </c>
      <c r="H11" s="727">
        <f>H10+(H17-H10)/7</f>
        <v>1.1000000000000001E-2</v>
      </c>
      <c r="I11" s="722">
        <v>39</v>
      </c>
      <c r="J11" s="723">
        <v>38</v>
      </c>
      <c r="K11" s="724">
        <v>232</v>
      </c>
      <c r="L11" s="725">
        <v>229</v>
      </c>
      <c r="M11" s="726">
        <f t="shared" si="19"/>
        <v>7.1428571428571418E-4</v>
      </c>
      <c r="N11" s="727">
        <f>N10+(N17-N10)/7</f>
        <v>1.0714285714285714E-2</v>
      </c>
      <c r="O11" s="722">
        <v>40</v>
      </c>
      <c r="P11" s="723">
        <v>39</v>
      </c>
      <c r="Q11" s="724">
        <v>250</v>
      </c>
      <c r="R11" s="725">
        <v>250</v>
      </c>
      <c r="S11" s="726">
        <f t="shared" si="20"/>
        <v>7.1428571428571418E-4</v>
      </c>
      <c r="T11" s="727">
        <f>T10+(T17-T10)/7</f>
        <v>1.0714285714285714E-2</v>
      </c>
      <c r="U11" s="722">
        <v>37</v>
      </c>
      <c r="V11" s="723">
        <v>36</v>
      </c>
      <c r="W11" s="724">
        <v>218</v>
      </c>
      <c r="X11" s="725">
        <v>215</v>
      </c>
      <c r="Y11" s="726">
        <f t="shared" si="21"/>
        <v>7.7142857142857221E-4</v>
      </c>
      <c r="Z11" s="727">
        <f>Z10+(Z17-Z10)/7</f>
        <v>1.0771428571428572E-2</v>
      </c>
      <c r="AA11" s="722">
        <v>35</v>
      </c>
      <c r="AB11" s="723">
        <v>34</v>
      </c>
      <c r="AC11" s="724">
        <v>206</v>
      </c>
      <c r="AD11" s="725">
        <v>203</v>
      </c>
      <c r="AE11" s="726">
        <f t="shared" si="22"/>
        <v>8.1428571428571357E-4</v>
      </c>
      <c r="AF11" s="727">
        <f>AF10+(AF17-AF10)/7</f>
        <v>1.0814285714285714E-2</v>
      </c>
    </row>
    <row r="12" spans="2:32" x14ac:dyDescent="0.2">
      <c r="B12" s="715">
        <f t="shared" si="18"/>
        <v>9</v>
      </c>
      <c r="C12" s="722">
        <v>44</v>
      </c>
      <c r="D12" s="723">
        <v>44</v>
      </c>
      <c r="E12" s="724">
        <v>267</v>
      </c>
      <c r="F12" s="725">
        <v>263</v>
      </c>
      <c r="G12" s="726">
        <f t="shared" si="23"/>
        <v>1.0000000000000009E-3</v>
      </c>
      <c r="H12" s="727">
        <f>H11+(H17-H10)/7</f>
        <v>1.2000000000000002E-2</v>
      </c>
      <c r="I12" s="722">
        <v>44</v>
      </c>
      <c r="J12" s="723">
        <v>42</v>
      </c>
      <c r="K12" s="724">
        <v>274</v>
      </c>
      <c r="L12" s="725">
        <v>269</v>
      </c>
      <c r="M12" s="726">
        <f t="shared" si="19"/>
        <v>7.1428571428571418E-4</v>
      </c>
      <c r="N12" s="727">
        <f>N11+(N17-N10)/7</f>
        <v>1.1428571428571429E-2</v>
      </c>
      <c r="O12" s="722">
        <v>44</v>
      </c>
      <c r="P12" s="723">
        <v>43</v>
      </c>
      <c r="Q12" s="724">
        <v>290</v>
      </c>
      <c r="R12" s="725">
        <v>289</v>
      </c>
      <c r="S12" s="726">
        <f t="shared" si="20"/>
        <v>7.1428571428571418E-4</v>
      </c>
      <c r="T12" s="727">
        <f>T11+(T17-T10)/7</f>
        <v>1.1428571428571429E-2</v>
      </c>
      <c r="U12" s="722">
        <v>42</v>
      </c>
      <c r="V12" s="723">
        <v>41</v>
      </c>
      <c r="W12" s="724">
        <v>257</v>
      </c>
      <c r="X12" s="725">
        <v>253</v>
      </c>
      <c r="Y12" s="726">
        <f t="shared" si="21"/>
        <v>7.7142857142857221E-4</v>
      </c>
      <c r="Z12" s="727">
        <f>Z11+(Z17-Z10)/7</f>
        <v>1.1542857142857145E-2</v>
      </c>
      <c r="AA12" s="722">
        <v>40</v>
      </c>
      <c r="AB12" s="723">
        <v>39</v>
      </c>
      <c r="AC12" s="724">
        <v>244</v>
      </c>
      <c r="AD12" s="725">
        <v>240</v>
      </c>
      <c r="AE12" s="726">
        <f t="shared" si="22"/>
        <v>8.1428571428571357E-4</v>
      </c>
      <c r="AF12" s="727">
        <f>AF11+(AF17-AF10)/7</f>
        <v>1.1628571428571427E-2</v>
      </c>
    </row>
    <row r="13" spans="2:32" x14ac:dyDescent="0.2">
      <c r="B13" s="715">
        <f t="shared" si="18"/>
        <v>10</v>
      </c>
      <c r="C13" s="722">
        <v>49</v>
      </c>
      <c r="D13" s="723">
        <v>47</v>
      </c>
      <c r="E13" s="724">
        <v>308</v>
      </c>
      <c r="F13" s="725">
        <v>302</v>
      </c>
      <c r="G13" s="726">
        <f t="shared" si="23"/>
        <v>1.0000000000000009E-3</v>
      </c>
      <c r="H13" s="727">
        <f>H12+(H17-H10)/7</f>
        <v>1.3000000000000003E-2</v>
      </c>
      <c r="I13" s="722">
        <v>49</v>
      </c>
      <c r="J13" s="723">
        <v>47</v>
      </c>
      <c r="K13" s="724">
        <v>317</v>
      </c>
      <c r="L13" s="725">
        <v>310</v>
      </c>
      <c r="M13" s="726">
        <f t="shared" si="19"/>
        <v>7.1428571428571418E-4</v>
      </c>
      <c r="N13" s="727">
        <f>N12+(N17-N10)/7</f>
        <v>1.2142857142857143E-2</v>
      </c>
      <c r="O13" s="722">
        <v>49</v>
      </c>
      <c r="P13" s="723">
        <v>47</v>
      </c>
      <c r="Q13" s="724">
        <v>334</v>
      </c>
      <c r="R13" s="725">
        <v>331</v>
      </c>
      <c r="S13" s="726">
        <f t="shared" si="20"/>
        <v>7.1428571428571418E-4</v>
      </c>
      <c r="T13" s="727">
        <f>T12+(T17-T10)/7</f>
        <v>1.2142857142857143E-2</v>
      </c>
      <c r="U13" s="722">
        <v>47</v>
      </c>
      <c r="V13" s="723">
        <v>45</v>
      </c>
      <c r="W13" s="724">
        <v>297</v>
      </c>
      <c r="X13" s="725">
        <v>291</v>
      </c>
      <c r="Y13" s="726">
        <f t="shared" si="21"/>
        <v>7.7142857142857221E-4</v>
      </c>
      <c r="Z13" s="727">
        <f>Z12+(Z17-Z10)/7</f>
        <v>1.2314285714285717E-2</v>
      </c>
      <c r="AA13" s="722">
        <v>44</v>
      </c>
      <c r="AB13" s="723">
        <v>42</v>
      </c>
      <c r="AC13" s="724">
        <v>281</v>
      </c>
      <c r="AD13" s="725">
        <v>276</v>
      </c>
      <c r="AE13" s="726">
        <f t="shared" si="22"/>
        <v>8.1428571428571357E-4</v>
      </c>
      <c r="AF13" s="727">
        <f>AF12+(AF17-AF10)/7</f>
        <v>1.2442857142857141E-2</v>
      </c>
    </row>
    <row r="14" spans="2:32" x14ac:dyDescent="0.2">
      <c r="B14" s="715">
        <f t="shared" si="18"/>
        <v>11</v>
      </c>
      <c r="C14" s="722">
        <v>54</v>
      </c>
      <c r="D14" s="723">
        <v>54</v>
      </c>
      <c r="E14" s="724">
        <v>348</v>
      </c>
      <c r="F14" s="725">
        <v>342</v>
      </c>
      <c r="G14" s="726">
        <f t="shared" si="23"/>
        <v>1.0000000000000009E-3</v>
      </c>
      <c r="H14" s="727">
        <f>H13+(H17-H10)/7</f>
        <v>1.4000000000000004E-2</v>
      </c>
      <c r="I14" s="722">
        <v>54</v>
      </c>
      <c r="J14" s="723">
        <v>51</v>
      </c>
      <c r="K14" s="724">
        <v>360</v>
      </c>
      <c r="L14" s="725">
        <v>351</v>
      </c>
      <c r="M14" s="726">
        <f t="shared" si="19"/>
        <v>7.1428571428571418E-4</v>
      </c>
      <c r="N14" s="727">
        <f>N13+(N17-N10)/7</f>
        <v>1.2857142857142857E-2</v>
      </c>
      <c r="O14" s="722">
        <v>54</v>
      </c>
      <c r="P14" s="723">
        <v>51</v>
      </c>
      <c r="Q14" s="724">
        <v>382</v>
      </c>
      <c r="R14" s="725">
        <v>376</v>
      </c>
      <c r="S14" s="726">
        <f t="shared" si="20"/>
        <v>7.1428571428571418E-4</v>
      </c>
      <c r="T14" s="727">
        <f>T13+(T17-T10)/7</f>
        <v>1.2857142857142857E-2</v>
      </c>
      <c r="U14" s="722">
        <v>51</v>
      </c>
      <c r="V14" s="723">
        <v>50</v>
      </c>
      <c r="W14" s="724">
        <v>336</v>
      </c>
      <c r="X14" s="725">
        <v>329</v>
      </c>
      <c r="Y14" s="726">
        <f t="shared" si="21"/>
        <v>7.7142857142857221E-4</v>
      </c>
      <c r="Z14" s="727">
        <f>Z13+(Z17-Z10)/7</f>
        <v>1.3085714285714289E-2</v>
      </c>
      <c r="AA14" s="722">
        <v>49</v>
      </c>
      <c r="AB14" s="723">
        <v>47</v>
      </c>
      <c r="AC14" s="724">
        <v>319</v>
      </c>
      <c r="AD14" s="725">
        <v>312</v>
      </c>
      <c r="AE14" s="726">
        <f t="shared" si="22"/>
        <v>8.1428571428571357E-4</v>
      </c>
      <c r="AF14" s="727">
        <f>AF13+(AF17-AF10)/7</f>
        <v>1.3257142857142854E-2</v>
      </c>
    </row>
    <row r="15" spans="2:32" x14ac:dyDescent="0.2">
      <c r="B15" s="715">
        <f t="shared" si="18"/>
        <v>12</v>
      </c>
      <c r="C15" s="722">
        <v>59</v>
      </c>
      <c r="D15" s="723">
        <v>57</v>
      </c>
      <c r="E15" s="724">
        <v>389</v>
      </c>
      <c r="F15" s="725">
        <v>381</v>
      </c>
      <c r="G15" s="726">
        <f t="shared" si="23"/>
        <v>1.0000000000000009E-3</v>
      </c>
      <c r="H15" s="727">
        <f>H14+(H17-H10)/7</f>
        <v>1.5000000000000005E-2</v>
      </c>
      <c r="I15" s="722">
        <v>60</v>
      </c>
      <c r="J15" s="723">
        <v>56</v>
      </c>
      <c r="K15" s="724">
        <v>403</v>
      </c>
      <c r="L15" s="725">
        <v>392</v>
      </c>
      <c r="M15" s="726">
        <f t="shared" si="19"/>
        <v>7.1428571428571418E-4</v>
      </c>
      <c r="N15" s="727">
        <f>N14+(N17-N10)/7</f>
        <v>1.3571428571428571E-2</v>
      </c>
      <c r="O15" s="722">
        <v>60</v>
      </c>
      <c r="P15" s="723">
        <v>56</v>
      </c>
      <c r="Q15" s="724">
        <v>434</v>
      </c>
      <c r="R15" s="725">
        <v>425</v>
      </c>
      <c r="S15" s="726">
        <f t="shared" si="20"/>
        <v>7.1428571428571418E-4</v>
      </c>
      <c r="T15" s="727">
        <f>T14+(T17-T10)/7</f>
        <v>1.3571428571428571E-2</v>
      </c>
      <c r="U15" s="722">
        <v>57</v>
      </c>
      <c r="V15" s="723">
        <v>54</v>
      </c>
      <c r="W15" s="724">
        <v>376</v>
      </c>
      <c r="X15" s="725">
        <v>367</v>
      </c>
      <c r="Y15" s="726">
        <f t="shared" si="21"/>
        <v>7.7142857142857221E-4</v>
      </c>
      <c r="Z15" s="727">
        <f>Z14+(Z17-Z10)/7</f>
        <v>1.3857142857142861E-2</v>
      </c>
      <c r="AA15" s="722">
        <v>54</v>
      </c>
      <c r="AB15" s="723">
        <v>51</v>
      </c>
      <c r="AC15" s="724">
        <v>356</v>
      </c>
      <c r="AD15" s="725">
        <v>348</v>
      </c>
      <c r="AE15" s="726">
        <f t="shared" si="22"/>
        <v>8.1428571428571357E-4</v>
      </c>
      <c r="AF15" s="727">
        <f>AF14+(AF17-AF10)/7</f>
        <v>1.4071428571428568E-2</v>
      </c>
    </row>
    <row r="16" spans="2:32" x14ac:dyDescent="0.2">
      <c r="B16" s="715">
        <f t="shared" si="18"/>
        <v>13</v>
      </c>
      <c r="C16" s="722">
        <v>64</v>
      </c>
      <c r="D16" s="723">
        <v>63</v>
      </c>
      <c r="E16" s="724">
        <v>429</v>
      </c>
      <c r="F16" s="725">
        <v>421</v>
      </c>
      <c r="G16" s="726">
        <f t="shared" si="23"/>
        <v>9.9999999999999915E-4</v>
      </c>
      <c r="H16" s="727">
        <f>H15+(H17-H10)/7</f>
        <v>1.6000000000000004E-2</v>
      </c>
      <c r="I16" s="722">
        <v>65</v>
      </c>
      <c r="J16" s="723">
        <v>61</v>
      </c>
      <c r="K16" s="724">
        <v>445</v>
      </c>
      <c r="L16" s="725">
        <v>432</v>
      </c>
      <c r="M16" s="726">
        <f t="shared" si="19"/>
        <v>7.1428571428571418E-4</v>
      </c>
      <c r="N16" s="727">
        <f>N15+(N17-N10)/7</f>
        <v>1.4285714285714285E-2</v>
      </c>
      <c r="O16" s="722">
        <v>65</v>
      </c>
      <c r="P16" s="723">
        <v>60</v>
      </c>
      <c r="Q16" s="724">
        <v>489</v>
      </c>
      <c r="R16" s="725">
        <v>477</v>
      </c>
      <c r="S16" s="726">
        <f t="shared" si="20"/>
        <v>7.1428571428571418E-4</v>
      </c>
      <c r="T16" s="727">
        <f>T15+(T17-T10)/7</f>
        <v>1.4285714285714285E-2</v>
      </c>
      <c r="U16" s="722">
        <v>61</v>
      </c>
      <c r="V16" s="723">
        <v>59</v>
      </c>
      <c r="W16" s="724">
        <v>415</v>
      </c>
      <c r="X16" s="725">
        <v>405</v>
      </c>
      <c r="Y16" s="726">
        <f t="shared" si="21"/>
        <v>7.7142857142857221E-4</v>
      </c>
      <c r="Z16" s="727">
        <f>Z15+(Z17-Z10)/7</f>
        <v>1.4628571428571433E-2</v>
      </c>
      <c r="AA16" s="722">
        <v>58</v>
      </c>
      <c r="AB16" s="723">
        <v>56</v>
      </c>
      <c r="AC16" s="724">
        <v>394</v>
      </c>
      <c r="AD16" s="725">
        <v>384</v>
      </c>
      <c r="AE16" s="726">
        <f t="shared" si="22"/>
        <v>8.1428571428571357E-4</v>
      </c>
      <c r="AF16" s="727">
        <f>AF15+(AF17-AF10)/7</f>
        <v>1.4885714285714282E-2</v>
      </c>
    </row>
    <row r="17" spans="2:32" x14ac:dyDescent="0.2">
      <c r="B17" s="715">
        <f t="shared" si="18"/>
        <v>14</v>
      </c>
      <c r="C17" s="722">
        <v>70</v>
      </c>
      <c r="D17" s="723">
        <v>68</v>
      </c>
      <c r="E17" s="724">
        <v>470</v>
      </c>
      <c r="F17" s="725">
        <v>460</v>
      </c>
      <c r="G17" s="726">
        <f t="shared" si="23"/>
        <v>9.9999999999999742E-4</v>
      </c>
      <c r="H17" s="728">
        <v>1.7000000000000001E-2</v>
      </c>
      <c r="I17" s="722">
        <v>71</v>
      </c>
      <c r="J17" s="723">
        <v>66</v>
      </c>
      <c r="K17" s="724">
        <v>488</v>
      </c>
      <c r="L17" s="725">
        <v>473</v>
      </c>
      <c r="M17" s="726">
        <f t="shared" si="19"/>
        <v>7.1428571428571418E-4</v>
      </c>
      <c r="N17" s="728">
        <v>1.4999999999999999E-2</v>
      </c>
      <c r="O17" s="722">
        <v>71</v>
      </c>
      <c r="P17" s="723">
        <v>65</v>
      </c>
      <c r="Q17" s="724">
        <v>549</v>
      </c>
      <c r="R17" s="725">
        <v>532</v>
      </c>
      <c r="S17" s="726">
        <f t="shared" si="20"/>
        <v>7.1428571428571418E-4</v>
      </c>
      <c r="T17" s="728">
        <v>1.4999999999999999E-2</v>
      </c>
      <c r="U17" s="722">
        <v>67</v>
      </c>
      <c r="V17" s="723">
        <v>64</v>
      </c>
      <c r="W17" s="724">
        <v>455</v>
      </c>
      <c r="X17" s="725">
        <v>443</v>
      </c>
      <c r="Y17" s="726">
        <f t="shared" si="21"/>
        <v>7.7142857142856701E-4</v>
      </c>
      <c r="Z17" s="728">
        <v>1.54E-2</v>
      </c>
      <c r="AA17" s="722">
        <v>63</v>
      </c>
      <c r="AB17" s="723">
        <v>60</v>
      </c>
      <c r="AC17" s="724">
        <v>431</v>
      </c>
      <c r="AD17" s="725">
        <v>420</v>
      </c>
      <c r="AE17" s="726">
        <f t="shared" si="22"/>
        <v>8.1428571428571704E-4</v>
      </c>
      <c r="AF17" s="728">
        <v>1.5699999999999999E-2</v>
      </c>
    </row>
    <row r="18" spans="2:32" x14ac:dyDescent="0.2">
      <c r="B18" s="715">
        <f t="shared" si="18"/>
        <v>15</v>
      </c>
      <c r="C18" s="722">
        <v>77</v>
      </c>
      <c r="D18" s="723">
        <v>73</v>
      </c>
      <c r="E18" s="724">
        <v>542</v>
      </c>
      <c r="F18" s="725">
        <v>525</v>
      </c>
      <c r="G18" s="726">
        <f t="shared" si="23"/>
        <v>1.0000000000000009E-3</v>
      </c>
      <c r="H18" s="727">
        <f>H17+(H24-H17)/7</f>
        <v>1.8000000000000002E-2</v>
      </c>
      <c r="I18" s="722">
        <v>77</v>
      </c>
      <c r="J18" s="723">
        <v>71</v>
      </c>
      <c r="K18" s="724">
        <v>555</v>
      </c>
      <c r="L18" s="725">
        <v>534</v>
      </c>
      <c r="M18" s="726">
        <f t="shared" si="19"/>
        <v>7.1428571428571591E-4</v>
      </c>
      <c r="N18" s="727">
        <f>N17+(N24-N17)/7</f>
        <v>1.5714285714285715E-2</v>
      </c>
      <c r="O18" s="722">
        <v>76</v>
      </c>
      <c r="P18" s="723">
        <v>70</v>
      </c>
      <c r="Q18" s="724">
        <v>612</v>
      </c>
      <c r="R18" s="725">
        <v>590</v>
      </c>
      <c r="S18" s="726">
        <f t="shared" si="20"/>
        <v>7.1428571428571591E-4</v>
      </c>
      <c r="T18" s="727">
        <f>T17+(T24-T17)/7</f>
        <v>1.5714285714285715E-2</v>
      </c>
      <c r="U18" s="722">
        <v>73</v>
      </c>
      <c r="V18" s="723">
        <v>68</v>
      </c>
      <c r="W18" s="724">
        <v>521</v>
      </c>
      <c r="X18" s="725">
        <v>503</v>
      </c>
      <c r="Y18" s="726">
        <f t="shared" si="21"/>
        <v>7.7142857142857221E-4</v>
      </c>
      <c r="Z18" s="727">
        <f>Z17+(Z24-Z17)/7</f>
        <v>1.6171428571428573E-2</v>
      </c>
      <c r="AA18" s="722">
        <v>69</v>
      </c>
      <c r="AB18" s="723">
        <v>65</v>
      </c>
      <c r="AC18" s="724">
        <v>494</v>
      </c>
      <c r="AD18" s="725">
        <v>476</v>
      </c>
      <c r="AE18" s="726">
        <f t="shared" si="22"/>
        <v>8.1428571428571531E-4</v>
      </c>
      <c r="AF18" s="727">
        <f>AF17+(AF24-AF17)/7</f>
        <v>1.6514285714285714E-2</v>
      </c>
    </row>
    <row r="19" spans="2:32" x14ac:dyDescent="0.2">
      <c r="B19" s="715">
        <f t="shared" si="18"/>
        <v>16</v>
      </c>
      <c r="C19" s="722">
        <v>83</v>
      </c>
      <c r="D19" s="723">
        <v>79</v>
      </c>
      <c r="E19" s="724">
        <v>613</v>
      </c>
      <c r="F19" s="725">
        <v>590</v>
      </c>
      <c r="G19" s="726">
        <f t="shared" si="23"/>
        <v>1.0000000000000009E-3</v>
      </c>
      <c r="H19" s="727">
        <f>H18+(H24-H17)/7</f>
        <v>1.9000000000000003E-2</v>
      </c>
      <c r="I19" s="722">
        <v>83</v>
      </c>
      <c r="J19" s="723">
        <v>76</v>
      </c>
      <c r="K19" s="724">
        <v>623</v>
      </c>
      <c r="L19" s="725">
        <v>595</v>
      </c>
      <c r="M19" s="726">
        <f t="shared" si="19"/>
        <v>7.1428571428571591E-4</v>
      </c>
      <c r="N19" s="727">
        <f>N18+(N24-N17)/7</f>
        <v>1.6428571428571431E-2</v>
      </c>
      <c r="O19" s="722">
        <v>82</v>
      </c>
      <c r="P19" s="723">
        <v>75</v>
      </c>
      <c r="Q19" s="724">
        <v>679</v>
      </c>
      <c r="R19" s="725">
        <v>651</v>
      </c>
      <c r="S19" s="726">
        <f t="shared" si="20"/>
        <v>7.1428571428571591E-4</v>
      </c>
      <c r="T19" s="727">
        <f>T18+(T24-T17)/7</f>
        <v>1.6428571428571431E-2</v>
      </c>
      <c r="U19" s="722">
        <v>79</v>
      </c>
      <c r="V19" s="723">
        <v>74</v>
      </c>
      <c r="W19" s="724">
        <v>587</v>
      </c>
      <c r="X19" s="725">
        <v>563</v>
      </c>
      <c r="Y19" s="726">
        <f t="shared" si="21"/>
        <v>7.7142857142857221E-4</v>
      </c>
      <c r="Z19" s="727">
        <f>Z18+(Z24-Z17)/7</f>
        <v>1.6942857142857145E-2</v>
      </c>
      <c r="AA19" s="722">
        <v>75</v>
      </c>
      <c r="AB19" s="723">
        <v>70</v>
      </c>
      <c r="AC19" s="724">
        <v>556</v>
      </c>
      <c r="AD19" s="725">
        <v>533</v>
      </c>
      <c r="AE19" s="726">
        <f t="shared" si="22"/>
        <v>8.1428571428571531E-4</v>
      </c>
      <c r="AF19" s="727">
        <f>AF18+(AF24-AF17)/7</f>
        <v>1.7328571428571429E-2</v>
      </c>
    </row>
    <row r="20" spans="2:32" x14ac:dyDescent="0.2">
      <c r="B20" s="715">
        <f t="shared" si="18"/>
        <v>17</v>
      </c>
      <c r="C20" s="722">
        <v>90</v>
      </c>
      <c r="D20" s="723">
        <v>84</v>
      </c>
      <c r="E20" s="724">
        <v>685</v>
      </c>
      <c r="F20" s="725">
        <v>655</v>
      </c>
      <c r="G20" s="726">
        <f t="shared" si="23"/>
        <v>1.0000000000000009E-3</v>
      </c>
      <c r="H20" s="727">
        <f>H19+(H24-H17)/7</f>
        <v>2.0000000000000004E-2</v>
      </c>
      <c r="I20" s="722">
        <v>90</v>
      </c>
      <c r="J20" s="723">
        <v>82</v>
      </c>
      <c r="K20" s="724">
        <v>690</v>
      </c>
      <c r="L20" s="725">
        <v>656</v>
      </c>
      <c r="M20" s="726">
        <f t="shared" si="19"/>
        <v>7.1428571428571591E-4</v>
      </c>
      <c r="N20" s="727">
        <f>N19+(N24-N17)/7</f>
        <v>1.7142857142857147E-2</v>
      </c>
      <c r="O20" s="722">
        <v>88</v>
      </c>
      <c r="P20" s="723">
        <v>80</v>
      </c>
      <c r="Q20" s="724">
        <v>749</v>
      </c>
      <c r="R20" s="725">
        <v>715</v>
      </c>
      <c r="S20" s="726">
        <f t="shared" si="20"/>
        <v>7.1428571428571591E-4</v>
      </c>
      <c r="T20" s="727">
        <f>T19+(T24-T17)/7</f>
        <v>1.7142857142857147E-2</v>
      </c>
      <c r="U20" s="722">
        <v>86</v>
      </c>
      <c r="V20" s="723">
        <v>79</v>
      </c>
      <c r="W20" s="724">
        <v>653</v>
      </c>
      <c r="X20" s="725">
        <v>622</v>
      </c>
      <c r="Y20" s="726">
        <f t="shared" si="21"/>
        <v>7.7142857142857221E-4</v>
      </c>
      <c r="Z20" s="727">
        <f>Z19+(Z24-Z17)/7</f>
        <v>1.7714285714285717E-2</v>
      </c>
      <c r="AA20" s="722">
        <v>81</v>
      </c>
      <c r="AB20" s="723">
        <v>75</v>
      </c>
      <c r="AC20" s="724">
        <v>619</v>
      </c>
      <c r="AD20" s="725">
        <v>590</v>
      </c>
      <c r="AE20" s="726">
        <f t="shared" si="22"/>
        <v>8.1428571428571531E-4</v>
      </c>
      <c r="AF20" s="727">
        <f>AF19+(AF24-AF17)/7</f>
        <v>1.8142857142857145E-2</v>
      </c>
    </row>
    <row r="21" spans="2:32" x14ac:dyDescent="0.2">
      <c r="B21" s="715">
        <f t="shared" si="18"/>
        <v>18</v>
      </c>
      <c r="C21" s="722">
        <v>97</v>
      </c>
      <c r="D21" s="723">
        <v>89</v>
      </c>
      <c r="E21" s="724">
        <v>756</v>
      </c>
      <c r="F21" s="725">
        <v>719</v>
      </c>
      <c r="G21" s="726">
        <f t="shared" si="23"/>
        <v>1.0000000000000009E-3</v>
      </c>
      <c r="H21" s="727">
        <f>H20+(H24-H17)/7</f>
        <v>2.1000000000000005E-2</v>
      </c>
      <c r="I21" s="722">
        <v>96</v>
      </c>
      <c r="J21" s="723">
        <v>87</v>
      </c>
      <c r="K21" s="724">
        <v>757</v>
      </c>
      <c r="L21" s="725">
        <v>716</v>
      </c>
      <c r="M21" s="726">
        <f t="shared" si="19"/>
        <v>7.1428571428571591E-4</v>
      </c>
      <c r="N21" s="727">
        <f>N20+(N24-N17)/7</f>
        <v>1.7857142857142863E-2</v>
      </c>
      <c r="O21" s="722">
        <v>94</v>
      </c>
      <c r="P21" s="723">
        <v>85</v>
      </c>
      <c r="Q21" s="724">
        <v>824</v>
      </c>
      <c r="R21" s="725">
        <v>782</v>
      </c>
      <c r="S21" s="726">
        <f t="shared" si="20"/>
        <v>7.1428571428571591E-4</v>
      </c>
      <c r="T21" s="727">
        <f>T20+(T24-T17)/7</f>
        <v>1.7857142857142863E-2</v>
      </c>
      <c r="U21" s="722">
        <v>92</v>
      </c>
      <c r="V21" s="723">
        <v>84</v>
      </c>
      <c r="W21" s="724">
        <v>719</v>
      </c>
      <c r="X21" s="725">
        <v>682</v>
      </c>
      <c r="Y21" s="726">
        <f t="shared" si="21"/>
        <v>7.7142857142857221E-4</v>
      </c>
      <c r="Z21" s="727">
        <f>Z20+(Z24-Z17)/7</f>
        <v>1.8485714285714289E-2</v>
      </c>
      <c r="AA21" s="722">
        <v>87</v>
      </c>
      <c r="AB21" s="723">
        <v>79</v>
      </c>
      <c r="AC21" s="724">
        <v>681</v>
      </c>
      <c r="AD21" s="725">
        <v>646</v>
      </c>
      <c r="AE21" s="726">
        <f t="shared" si="22"/>
        <v>8.1428571428571531E-4</v>
      </c>
      <c r="AF21" s="727">
        <f>AF20+(AF24-AF17)/7</f>
        <v>1.895714285714286E-2</v>
      </c>
    </row>
    <row r="22" spans="2:32" x14ac:dyDescent="0.2">
      <c r="B22" s="715">
        <f t="shared" si="18"/>
        <v>19</v>
      </c>
      <c r="C22" s="722">
        <v>104</v>
      </c>
      <c r="D22" s="723">
        <v>92</v>
      </c>
      <c r="E22" s="724">
        <v>828</v>
      </c>
      <c r="F22" s="725">
        <v>784</v>
      </c>
      <c r="G22" s="726">
        <f t="shared" si="23"/>
        <v>1.0000000000000009E-3</v>
      </c>
      <c r="H22" s="727">
        <f>H21+(H24-H17)/7</f>
        <v>2.2000000000000006E-2</v>
      </c>
      <c r="I22" s="722">
        <v>103</v>
      </c>
      <c r="J22" s="723">
        <v>93</v>
      </c>
      <c r="K22" s="724">
        <v>824</v>
      </c>
      <c r="L22" s="725">
        <v>777</v>
      </c>
      <c r="M22" s="726">
        <f t="shared" si="19"/>
        <v>7.1428571428571591E-4</v>
      </c>
      <c r="N22" s="727">
        <f>N21+(N24-N17)/7</f>
        <v>1.8571428571428579E-2</v>
      </c>
      <c r="O22" s="722">
        <v>101</v>
      </c>
      <c r="P22" s="723">
        <v>91</v>
      </c>
      <c r="Q22" s="724">
        <v>901</v>
      </c>
      <c r="R22" s="725">
        <v>851</v>
      </c>
      <c r="S22" s="726">
        <f t="shared" si="20"/>
        <v>7.1428571428571591E-4</v>
      </c>
      <c r="T22" s="727">
        <f>T21+(T24-T17)/7</f>
        <v>1.8571428571428579E-2</v>
      </c>
      <c r="U22" s="722">
        <v>98</v>
      </c>
      <c r="V22" s="723">
        <v>88</v>
      </c>
      <c r="W22" s="724">
        <v>785</v>
      </c>
      <c r="X22" s="725">
        <v>742</v>
      </c>
      <c r="Y22" s="726">
        <f t="shared" si="21"/>
        <v>7.7142857142857221E-4</v>
      </c>
      <c r="Z22" s="727">
        <f>Z21+(Z24-Z17)/7</f>
        <v>1.9257142857142862E-2</v>
      </c>
      <c r="AA22" s="722">
        <v>93</v>
      </c>
      <c r="AB22" s="723">
        <v>83</v>
      </c>
      <c r="AC22" s="724">
        <v>744</v>
      </c>
      <c r="AD22" s="725">
        <v>703</v>
      </c>
      <c r="AE22" s="726">
        <f t="shared" si="22"/>
        <v>8.1428571428571531E-4</v>
      </c>
      <c r="AF22" s="727">
        <f>AF21+(AF24-AF17)/7</f>
        <v>1.9771428571428575E-2</v>
      </c>
    </row>
    <row r="23" spans="2:32" x14ac:dyDescent="0.2">
      <c r="B23" s="715">
        <f t="shared" si="18"/>
        <v>20</v>
      </c>
      <c r="C23" s="722">
        <v>112</v>
      </c>
      <c r="D23" s="723">
        <v>98</v>
      </c>
      <c r="E23" s="724">
        <v>899</v>
      </c>
      <c r="F23" s="725">
        <v>849</v>
      </c>
      <c r="G23" s="726">
        <f t="shared" si="23"/>
        <v>1.0000000000000009E-3</v>
      </c>
      <c r="H23" s="727">
        <f>H22+(H24-H17)/7</f>
        <v>2.3000000000000007E-2</v>
      </c>
      <c r="I23" s="722">
        <v>109</v>
      </c>
      <c r="J23" s="723">
        <v>98</v>
      </c>
      <c r="K23" s="724">
        <v>892</v>
      </c>
      <c r="L23" s="725">
        <v>838</v>
      </c>
      <c r="M23" s="726">
        <f t="shared" si="19"/>
        <v>7.1428571428571591E-4</v>
      </c>
      <c r="N23" s="727">
        <f>N22+(N24-N17)/7</f>
        <v>1.9285714285714295E-2</v>
      </c>
      <c r="O23" s="722">
        <v>107</v>
      </c>
      <c r="P23" s="723">
        <v>96</v>
      </c>
      <c r="Q23" s="724">
        <v>983</v>
      </c>
      <c r="R23" s="725">
        <v>924</v>
      </c>
      <c r="S23" s="726">
        <f t="shared" si="20"/>
        <v>7.1428571428571591E-4</v>
      </c>
      <c r="T23" s="727">
        <f>T22+(T24-T17)/7</f>
        <v>1.9285714285714295E-2</v>
      </c>
      <c r="U23" s="722">
        <v>105</v>
      </c>
      <c r="V23" s="723">
        <v>93</v>
      </c>
      <c r="W23" s="724">
        <v>851</v>
      </c>
      <c r="X23" s="725">
        <v>801</v>
      </c>
      <c r="Y23" s="726">
        <f t="shared" si="21"/>
        <v>7.7142857142857221E-4</v>
      </c>
      <c r="Z23" s="727">
        <f>Z22+(Z24-Z17)/7</f>
        <v>2.0028571428571434E-2</v>
      </c>
      <c r="AA23" s="722">
        <v>99</v>
      </c>
      <c r="AB23" s="723">
        <v>88</v>
      </c>
      <c r="AC23" s="724">
        <v>806</v>
      </c>
      <c r="AD23" s="725">
        <v>759</v>
      </c>
      <c r="AE23" s="726">
        <f t="shared" si="22"/>
        <v>8.1428571428571531E-4</v>
      </c>
      <c r="AF23" s="727">
        <f>AF22+(AF24-AF17)/7</f>
        <v>2.0585714285714291E-2</v>
      </c>
    </row>
    <row r="24" spans="2:32" x14ac:dyDescent="0.2">
      <c r="B24" s="715">
        <f t="shared" si="18"/>
        <v>21</v>
      </c>
      <c r="C24" s="722">
        <v>119</v>
      </c>
      <c r="D24" s="723">
        <v>103</v>
      </c>
      <c r="E24" s="724">
        <v>971</v>
      </c>
      <c r="F24" s="725">
        <v>914</v>
      </c>
      <c r="G24" s="726">
        <f t="shared" si="23"/>
        <v>9.9999999999999395E-4</v>
      </c>
      <c r="H24" s="728">
        <v>2.4E-2</v>
      </c>
      <c r="I24" s="722">
        <v>116</v>
      </c>
      <c r="J24" s="723">
        <v>104</v>
      </c>
      <c r="K24" s="724">
        <v>959</v>
      </c>
      <c r="L24" s="725">
        <v>899</v>
      </c>
      <c r="M24" s="726">
        <f t="shared" si="19"/>
        <v>7.142857142857055E-4</v>
      </c>
      <c r="N24" s="728">
        <v>0.02</v>
      </c>
      <c r="O24" s="722">
        <v>113</v>
      </c>
      <c r="P24" s="723">
        <v>101</v>
      </c>
      <c r="Q24" s="724">
        <v>1067</v>
      </c>
      <c r="R24" s="725">
        <v>998</v>
      </c>
      <c r="S24" s="726">
        <f t="shared" si="20"/>
        <v>7.142857142857055E-4</v>
      </c>
      <c r="T24" s="728">
        <v>0.02</v>
      </c>
      <c r="U24" s="722">
        <v>112</v>
      </c>
      <c r="V24" s="723">
        <v>98</v>
      </c>
      <c r="W24" s="724">
        <v>917</v>
      </c>
      <c r="X24" s="725">
        <v>861</v>
      </c>
      <c r="Y24" s="726">
        <f t="shared" si="21"/>
        <v>7.7142857142856527E-4</v>
      </c>
      <c r="Z24" s="728">
        <v>2.0799999999999999E-2</v>
      </c>
      <c r="AA24" s="722">
        <v>106</v>
      </c>
      <c r="AB24" s="723">
        <v>93</v>
      </c>
      <c r="AC24" s="724">
        <v>869</v>
      </c>
      <c r="AD24" s="725">
        <v>816</v>
      </c>
      <c r="AE24" s="726">
        <f t="shared" si="22"/>
        <v>8.1428571428570837E-4</v>
      </c>
      <c r="AF24" s="728">
        <v>2.1399999999999999E-2</v>
      </c>
    </row>
    <row r="25" spans="2:32" x14ac:dyDescent="0.2">
      <c r="B25" s="715">
        <f t="shared" si="18"/>
        <v>22</v>
      </c>
      <c r="C25" s="722">
        <v>124</v>
      </c>
      <c r="D25" s="723">
        <v>111</v>
      </c>
      <c r="E25" s="724">
        <v>1059</v>
      </c>
      <c r="F25" s="725">
        <v>992</v>
      </c>
      <c r="G25" s="726">
        <f t="shared" si="23"/>
        <v>1.4285714285714284E-3</v>
      </c>
      <c r="H25" s="727">
        <f>H24+(H31-H24)/7</f>
        <v>2.5428571428571429E-2</v>
      </c>
      <c r="I25" s="722">
        <v>122</v>
      </c>
      <c r="J25" s="723">
        <v>109</v>
      </c>
      <c r="K25" s="724">
        <v>1047</v>
      </c>
      <c r="L25" s="725">
        <v>974</v>
      </c>
      <c r="M25" s="726">
        <f t="shared" si="19"/>
        <v>1.0000000000000009E-3</v>
      </c>
      <c r="N25" s="727">
        <f>N24+(N31-N24)/7</f>
        <v>2.1000000000000001E-2</v>
      </c>
      <c r="O25" s="722">
        <v>120</v>
      </c>
      <c r="P25" s="723">
        <v>107</v>
      </c>
      <c r="Q25" s="724">
        <v>1155</v>
      </c>
      <c r="R25" s="725">
        <v>1075</v>
      </c>
      <c r="S25" s="726">
        <f t="shared" si="20"/>
        <v>1.0000000000000009E-3</v>
      </c>
      <c r="T25" s="727">
        <f>T24+(T31-T24)/7</f>
        <v>2.1000000000000001E-2</v>
      </c>
      <c r="U25" s="722">
        <v>117</v>
      </c>
      <c r="V25" s="723">
        <v>105</v>
      </c>
      <c r="W25" s="724">
        <v>1000</v>
      </c>
      <c r="X25" s="725">
        <v>934</v>
      </c>
      <c r="Y25" s="726">
        <f t="shared" si="21"/>
        <v>1.1000000000000003E-3</v>
      </c>
      <c r="Z25" s="727">
        <f>Z24+(Z31-Z24)/7</f>
        <v>2.1899999999999999E-2</v>
      </c>
      <c r="AA25" s="722">
        <v>111</v>
      </c>
      <c r="AB25" s="723">
        <v>99</v>
      </c>
      <c r="AC25" s="724">
        <v>948</v>
      </c>
      <c r="AD25" s="725">
        <v>885</v>
      </c>
      <c r="AE25" s="726">
        <f t="shared" si="22"/>
        <v>1.1571428571428566E-3</v>
      </c>
      <c r="AF25" s="727">
        <f>AF24+(AF31-AF24)/7</f>
        <v>2.2557142857142855E-2</v>
      </c>
    </row>
    <row r="26" spans="2:32" x14ac:dyDescent="0.2">
      <c r="B26" s="715">
        <f t="shared" si="18"/>
        <v>23</v>
      </c>
      <c r="C26" s="722">
        <v>130</v>
      </c>
      <c r="D26" s="723">
        <v>116</v>
      </c>
      <c r="E26" s="724">
        <v>1146</v>
      </c>
      <c r="F26" s="725">
        <v>1071</v>
      </c>
      <c r="G26" s="726">
        <f t="shared" si="23"/>
        <v>1.4285714285714284E-3</v>
      </c>
      <c r="H26" s="727">
        <f>H25+(H31-H24)/7</f>
        <v>2.6857142857142857E-2</v>
      </c>
      <c r="I26" s="722">
        <v>129</v>
      </c>
      <c r="J26" s="723">
        <v>115</v>
      </c>
      <c r="K26" s="724">
        <v>1135</v>
      </c>
      <c r="L26" s="725">
        <v>1050</v>
      </c>
      <c r="M26" s="726">
        <f t="shared" si="19"/>
        <v>1.0000000000000009E-3</v>
      </c>
      <c r="N26" s="727">
        <f>N25+(N31-N24)/7</f>
        <v>2.2000000000000002E-2</v>
      </c>
      <c r="O26" s="722">
        <v>126</v>
      </c>
      <c r="P26" s="723">
        <v>112</v>
      </c>
      <c r="Q26" s="724">
        <v>1246</v>
      </c>
      <c r="R26" s="725">
        <v>1154</v>
      </c>
      <c r="S26" s="726">
        <f t="shared" si="20"/>
        <v>1.0000000000000009E-3</v>
      </c>
      <c r="T26" s="727">
        <f>T25+(T31-T24)/7</f>
        <v>2.2000000000000002E-2</v>
      </c>
      <c r="U26" s="722">
        <v>123</v>
      </c>
      <c r="V26" s="723">
        <v>110</v>
      </c>
      <c r="W26" s="724">
        <v>1084</v>
      </c>
      <c r="X26" s="725">
        <v>1007</v>
      </c>
      <c r="Y26" s="726">
        <f t="shared" si="21"/>
        <v>1.1000000000000003E-3</v>
      </c>
      <c r="Z26" s="727">
        <f>Z25+(Z31-Z24)/7</f>
        <v>2.3E-2</v>
      </c>
      <c r="AA26" s="722">
        <v>117</v>
      </c>
      <c r="AB26" s="723">
        <v>104</v>
      </c>
      <c r="AC26" s="724">
        <v>1027</v>
      </c>
      <c r="AD26" s="725">
        <v>954</v>
      </c>
      <c r="AE26" s="726">
        <f t="shared" si="22"/>
        <v>1.1571428571428566E-3</v>
      </c>
      <c r="AF26" s="727">
        <f>AF25+(AF31-AF24)/7</f>
        <v>2.3714285714285712E-2</v>
      </c>
    </row>
    <row r="27" spans="2:32" x14ac:dyDescent="0.2">
      <c r="B27" s="715">
        <f t="shared" si="18"/>
        <v>24</v>
      </c>
      <c r="C27" s="722">
        <v>136</v>
      </c>
      <c r="D27" s="723">
        <v>124</v>
      </c>
      <c r="E27" s="724">
        <v>1234</v>
      </c>
      <c r="F27" s="725">
        <v>1149</v>
      </c>
      <c r="G27" s="726">
        <f t="shared" si="23"/>
        <v>1.4285714285714284E-3</v>
      </c>
      <c r="H27" s="727">
        <f>H26+(H31-H24)/7</f>
        <v>2.8285714285714286E-2</v>
      </c>
      <c r="I27" s="722">
        <v>136</v>
      </c>
      <c r="J27" s="723">
        <v>120</v>
      </c>
      <c r="K27" s="724">
        <v>1223</v>
      </c>
      <c r="L27" s="725">
        <v>1125</v>
      </c>
      <c r="M27" s="726">
        <f t="shared" si="19"/>
        <v>1.0000000000000009E-3</v>
      </c>
      <c r="N27" s="727">
        <f>N26+(N31-N24)/7</f>
        <v>2.3000000000000003E-2</v>
      </c>
      <c r="O27" s="722">
        <v>133</v>
      </c>
      <c r="P27" s="723">
        <v>117</v>
      </c>
      <c r="Q27" s="724">
        <v>1339</v>
      </c>
      <c r="R27" s="725">
        <v>1235</v>
      </c>
      <c r="S27" s="726">
        <f t="shared" si="20"/>
        <v>1.0000000000000009E-3</v>
      </c>
      <c r="T27" s="727">
        <f>T26+(T31-T24)/7</f>
        <v>2.3000000000000003E-2</v>
      </c>
      <c r="U27" s="722">
        <v>129</v>
      </c>
      <c r="V27" s="723">
        <v>116</v>
      </c>
      <c r="W27" s="724">
        <v>1167</v>
      </c>
      <c r="X27" s="725">
        <v>1080</v>
      </c>
      <c r="Y27" s="726">
        <f t="shared" si="21"/>
        <v>1.1000000000000003E-3</v>
      </c>
      <c r="Z27" s="727">
        <f>Z26+(Z31-Z24)/7</f>
        <v>2.41E-2</v>
      </c>
      <c r="AA27" s="722">
        <v>122</v>
      </c>
      <c r="AB27" s="723">
        <v>110</v>
      </c>
      <c r="AC27" s="724">
        <v>1106</v>
      </c>
      <c r="AD27" s="725">
        <v>1024</v>
      </c>
      <c r="AE27" s="726">
        <f t="shared" si="22"/>
        <v>1.1571428571428566E-3</v>
      </c>
      <c r="AF27" s="727">
        <f>AF26+(AF31-AF24)/7</f>
        <v>2.4871428571428569E-2</v>
      </c>
    </row>
    <row r="28" spans="2:32" x14ac:dyDescent="0.2">
      <c r="B28" s="715">
        <f t="shared" si="18"/>
        <v>25</v>
      </c>
      <c r="C28" s="722">
        <v>142</v>
      </c>
      <c r="D28" s="723">
        <v>126</v>
      </c>
      <c r="E28" s="724">
        <v>1322</v>
      </c>
      <c r="F28" s="725">
        <v>1228</v>
      </c>
      <c r="G28" s="726">
        <f t="shared" si="23"/>
        <v>1.4285714285714284E-3</v>
      </c>
      <c r="H28" s="727">
        <f>H27+(H31-H24)/7</f>
        <v>2.9714285714285714E-2</v>
      </c>
      <c r="I28" s="722">
        <v>142</v>
      </c>
      <c r="J28" s="723">
        <v>125</v>
      </c>
      <c r="K28" s="724">
        <v>1312</v>
      </c>
      <c r="L28" s="725">
        <v>1201</v>
      </c>
      <c r="M28" s="726">
        <f t="shared" si="19"/>
        <v>1.0000000000000009E-3</v>
      </c>
      <c r="N28" s="727">
        <f>N27+(N31-N24)/7</f>
        <v>2.4000000000000004E-2</v>
      </c>
      <c r="O28" s="722">
        <v>139</v>
      </c>
      <c r="P28" s="723">
        <v>123</v>
      </c>
      <c r="Q28" s="724">
        <v>1436</v>
      </c>
      <c r="R28" s="725">
        <v>1318</v>
      </c>
      <c r="S28" s="726">
        <f t="shared" si="20"/>
        <v>1.0000000000000009E-3</v>
      </c>
      <c r="T28" s="727">
        <f>T27+(T31-T24)/7</f>
        <v>2.4000000000000004E-2</v>
      </c>
      <c r="U28" s="722">
        <v>135</v>
      </c>
      <c r="V28" s="723">
        <v>119</v>
      </c>
      <c r="W28" s="724">
        <v>1251</v>
      </c>
      <c r="X28" s="725">
        <v>1154</v>
      </c>
      <c r="Y28" s="726">
        <f t="shared" si="21"/>
        <v>1.1000000000000003E-3</v>
      </c>
      <c r="Z28" s="727">
        <f>Z27+(Z31-Z24)/7</f>
        <v>2.52E-2</v>
      </c>
      <c r="AA28" s="722">
        <v>128</v>
      </c>
      <c r="AB28" s="723">
        <v>113</v>
      </c>
      <c r="AC28" s="724">
        <v>1185</v>
      </c>
      <c r="AD28" s="725">
        <v>1093</v>
      </c>
      <c r="AE28" s="726">
        <f t="shared" si="22"/>
        <v>1.1571428571428566E-3</v>
      </c>
      <c r="AF28" s="727">
        <f>AF27+(AF31-AF24)/7</f>
        <v>2.6028571428571425E-2</v>
      </c>
    </row>
    <row r="29" spans="2:32" x14ac:dyDescent="0.2">
      <c r="B29" s="715">
        <f t="shared" si="18"/>
        <v>26</v>
      </c>
      <c r="C29" s="722">
        <v>148</v>
      </c>
      <c r="D29" s="723">
        <v>134</v>
      </c>
      <c r="E29" s="724">
        <v>1410</v>
      </c>
      <c r="F29" s="725">
        <v>1306</v>
      </c>
      <c r="G29" s="726">
        <f t="shared" si="23"/>
        <v>1.4285714285714284E-3</v>
      </c>
      <c r="H29" s="727">
        <f>H28+(H31-H24)/7</f>
        <v>3.1142857142857142E-2</v>
      </c>
      <c r="I29" s="722">
        <v>149</v>
      </c>
      <c r="J29" s="723">
        <v>130</v>
      </c>
      <c r="K29" s="724">
        <v>1400</v>
      </c>
      <c r="L29" s="725">
        <v>1276</v>
      </c>
      <c r="M29" s="726">
        <f t="shared" si="19"/>
        <v>1.0000000000000009E-3</v>
      </c>
      <c r="N29" s="727">
        <f>N28+(N31-N24)/7</f>
        <v>2.5000000000000005E-2</v>
      </c>
      <c r="O29" s="722">
        <v>146</v>
      </c>
      <c r="P29" s="723">
        <v>128</v>
      </c>
      <c r="Q29" s="724">
        <v>1535</v>
      </c>
      <c r="R29" s="725">
        <v>1402</v>
      </c>
      <c r="S29" s="726">
        <f t="shared" si="20"/>
        <v>1.0000000000000009E-3</v>
      </c>
      <c r="T29" s="727">
        <f>T28+(T31-T24)/7</f>
        <v>2.5000000000000005E-2</v>
      </c>
      <c r="U29" s="722">
        <v>141</v>
      </c>
      <c r="V29" s="723">
        <v>125</v>
      </c>
      <c r="W29" s="724">
        <v>1334</v>
      </c>
      <c r="X29" s="725">
        <v>1227</v>
      </c>
      <c r="Y29" s="726">
        <f t="shared" si="21"/>
        <v>1.1000000000000003E-3</v>
      </c>
      <c r="Z29" s="727">
        <f>Z28+(Z31-Z24)/7</f>
        <v>2.63E-2</v>
      </c>
      <c r="AA29" s="722">
        <v>134</v>
      </c>
      <c r="AB29" s="723">
        <v>119</v>
      </c>
      <c r="AC29" s="724">
        <v>1264</v>
      </c>
      <c r="AD29" s="725">
        <v>1162</v>
      </c>
      <c r="AE29" s="726">
        <f t="shared" si="22"/>
        <v>1.1571428571428566E-3</v>
      </c>
      <c r="AF29" s="727">
        <f>AF28+(AF31-AF24)/7</f>
        <v>2.7185714285714282E-2</v>
      </c>
    </row>
    <row r="30" spans="2:32" x14ac:dyDescent="0.2">
      <c r="B30" s="715">
        <f t="shared" si="18"/>
        <v>27</v>
      </c>
      <c r="C30" s="722">
        <v>154</v>
      </c>
      <c r="D30" s="723">
        <v>142</v>
      </c>
      <c r="E30" s="724">
        <v>1497</v>
      </c>
      <c r="F30" s="725">
        <v>1385</v>
      </c>
      <c r="G30" s="726">
        <f t="shared" si="23"/>
        <v>1.4285714285714284E-3</v>
      </c>
      <c r="H30" s="727">
        <f>H29+(H31-H24)/7</f>
        <v>3.2571428571428571E-2</v>
      </c>
      <c r="I30" s="722">
        <v>155</v>
      </c>
      <c r="J30" s="723">
        <v>135</v>
      </c>
      <c r="K30" s="724">
        <v>1488</v>
      </c>
      <c r="L30" s="725">
        <v>1352</v>
      </c>
      <c r="M30" s="726">
        <f t="shared" si="19"/>
        <v>1.0000000000000009E-3</v>
      </c>
      <c r="N30" s="727">
        <f>N29+(N31-N24)/7</f>
        <v>2.6000000000000006E-2</v>
      </c>
      <c r="O30" s="722">
        <v>152</v>
      </c>
      <c r="P30" s="723">
        <v>133</v>
      </c>
      <c r="Q30" s="724">
        <v>1636</v>
      </c>
      <c r="R30" s="725">
        <v>1488</v>
      </c>
      <c r="S30" s="726">
        <f t="shared" si="20"/>
        <v>1.0000000000000009E-3</v>
      </c>
      <c r="T30" s="727">
        <f>T29+(T31-T24)/7</f>
        <v>2.6000000000000006E-2</v>
      </c>
      <c r="U30" s="722">
        <v>147</v>
      </c>
      <c r="V30" s="723">
        <v>132</v>
      </c>
      <c r="W30" s="724">
        <v>1418</v>
      </c>
      <c r="X30" s="725">
        <v>1300</v>
      </c>
      <c r="Y30" s="726">
        <f t="shared" si="21"/>
        <v>1.1000000000000003E-3</v>
      </c>
      <c r="Z30" s="727">
        <f>Z29+(Z31-Z24)/7</f>
        <v>2.7400000000000001E-2</v>
      </c>
      <c r="AA30" s="722">
        <v>139</v>
      </c>
      <c r="AB30" s="723">
        <v>125</v>
      </c>
      <c r="AC30" s="724">
        <v>1343</v>
      </c>
      <c r="AD30" s="725">
        <v>1231</v>
      </c>
      <c r="AE30" s="726">
        <f t="shared" si="22"/>
        <v>1.1571428571428566E-3</v>
      </c>
      <c r="AF30" s="727">
        <f>AF29+(AF31-AF24)/7</f>
        <v>2.8342857142857138E-2</v>
      </c>
    </row>
    <row r="31" spans="2:32" x14ac:dyDescent="0.2">
      <c r="B31" s="715">
        <f t="shared" si="18"/>
        <v>28</v>
      </c>
      <c r="C31" s="722">
        <v>160</v>
      </c>
      <c r="D31" s="723">
        <v>144</v>
      </c>
      <c r="E31" s="724">
        <v>1585</v>
      </c>
      <c r="F31" s="725">
        <v>1463</v>
      </c>
      <c r="G31" s="726">
        <f t="shared" si="23"/>
        <v>1.4285714285714318E-3</v>
      </c>
      <c r="H31" s="728">
        <v>3.4000000000000002E-2</v>
      </c>
      <c r="I31" s="722">
        <v>162</v>
      </c>
      <c r="J31" s="723">
        <v>140</v>
      </c>
      <c r="K31" s="724">
        <v>1576</v>
      </c>
      <c r="L31" s="725">
        <v>1427</v>
      </c>
      <c r="M31" s="726">
        <f t="shared" si="19"/>
        <v>9.9999999999999395E-4</v>
      </c>
      <c r="N31" s="728">
        <v>2.7E-2</v>
      </c>
      <c r="O31" s="722">
        <v>158</v>
      </c>
      <c r="P31" s="723">
        <v>138</v>
      </c>
      <c r="Q31" s="724">
        <v>1739</v>
      </c>
      <c r="R31" s="725">
        <v>1575</v>
      </c>
      <c r="S31" s="726">
        <f t="shared" si="20"/>
        <v>9.9999999999999395E-4</v>
      </c>
      <c r="T31" s="728">
        <v>2.7E-2</v>
      </c>
      <c r="U31" s="722">
        <v>153</v>
      </c>
      <c r="V31" s="723">
        <v>135</v>
      </c>
      <c r="W31" s="724">
        <v>1501</v>
      </c>
      <c r="X31" s="725">
        <v>1373</v>
      </c>
      <c r="Y31" s="726">
        <f t="shared" si="21"/>
        <v>1.1000000000000003E-3</v>
      </c>
      <c r="Z31" s="728">
        <v>2.8500000000000001E-2</v>
      </c>
      <c r="AA31" s="722">
        <v>145</v>
      </c>
      <c r="AB31" s="723">
        <v>128</v>
      </c>
      <c r="AC31" s="724">
        <v>1422</v>
      </c>
      <c r="AD31" s="725">
        <v>1301</v>
      </c>
      <c r="AE31" s="726">
        <f t="shared" si="22"/>
        <v>1.1571428571428601E-3</v>
      </c>
      <c r="AF31" s="728">
        <v>2.9499999999999998E-2</v>
      </c>
    </row>
    <row r="32" spans="2:32" x14ac:dyDescent="0.2">
      <c r="B32" s="715">
        <f t="shared" si="18"/>
        <v>29</v>
      </c>
      <c r="C32" s="722">
        <v>165</v>
      </c>
      <c r="D32" s="723">
        <v>151</v>
      </c>
      <c r="E32" s="724">
        <v>1687</v>
      </c>
      <c r="F32" s="725">
        <v>1552</v>
      </c>
      <c r="G32" s="726">
        <f t="shared" si="23"/>
        <v>1.4285714285714249E-3</v>
      </c>
      <c r="H32" s="727">
        <f>H31+(H38-H31)/7</f>
        <v>3.5428571428571427E-2</v>
      </c>
      <c r="I32" s="722">
        <v>168</v>
      </c>
      <c r="J32" s="723">
        <v>145</v>
      </c>
      <c r="K32" s="724">
        <v>1677</v>
      </c>
      <c r="L32" s="725">
        <v>1510</v>
      </c>
      <c r="M32" s="726">
        <f t="shared" si="19"/>
        <v>1.0000000000000009E-3</v>
      </c>
      <c r="N32" s="727">
        <f>N31+(N38-N31)/7</f>
        <v>2.8000000000000001E-2</v>
      </c>
      <c r="O32" s="722">
        <v>165</v>
      </c>
      <c r="P32" s="723">
        <v>143</v>
      </c>
      <c r="Q32" s="724">
        <v>1845</v>
      </c>
      <c r="R32" s="725">
        <v>1664</v>
      </c>
      <c r="S32" s="726">
        <f t="shared" si="20"/>
        <v>1.0000000000000009E-3</v>
      </c>
      <c r="T32" s="727">
        <f>T31+(T38-T31)/7</f>
        <v>2.8000000000000001E-2</v>
      </c>
      <c r="U32" s="722">
        <v>158</v>
      </c>
      <c r="V32" s="723">
        <v>141</v>
      </c>
      <c r="W32" s="724">
        <v>1598</v>
      </c>
      <c r="X32" s="725">
        <v>1454</v>
      </c>
      <c r="Y32" s="726">
        <f t="shared" si="21"/>
        <v>1.0857142857142871E-3</v>
      </c>
      <c r="Z32" s="727">
        <f>Z31+(Z38-Z31)/7</f>
        <v>2.9585714285714288E-2</v>
      </c>
      <c r="AA32" s="722">
        <v>150</v>
      </c>
      <c r="AB32" s="723">
        <v>133</v>
      </c>
      <c r="AC32" s="724">
        <v>1514</v>
      </c>
      <c r="AD32" s="725">
        <v>1378</v>
      </c>
      <c r="AE32" s="726">
        <f t="shared" si="22"/>
        <v>1.1571428571428566E-3</v>
      </c>
      <c r="AF32" s="727">
        <f>AF31+(AF38-AF31)/7</f>
        <v>3.0657142857142855E-2</v>
      </c>
    </row>
    <row r="33" spans="2:32" x14ac:dyDescent="0.2">
      <c r="B33" s="715">
        <f t="shared" si="18"/>
        <v>30</v>
      </c>
      <c r="C33" s="722">
        <v>171</v>
      </c>
      <c r="D33" s="723">
        <v>155</v>
      </c>
      <c r="E33" s="724">
        <v>1789</v>
      </c>
      <c r="F33" s="725">
        <v>1640</v>
      </c>
      <c r="G33" s="726">
        <f t="shared" si="23"/>
        <v>1.4285714285714249E-3</v>
      </c>
      <c r="H33" s="727">
        <f>H32+(H38-H31)/7</f>
        <v>3.6857142857142852E-2</v>
      </c>
      <c r="I33" s="722">
        <v>174</v>
      </c>
      <c r="J33" s="723">
        <v>150</v>
      </c>
      <c r="K33" s="724">
        <v>1778</v>
      </c>
      <c r="L33" s="725">
        <v>1592</v>
      </c>
      <c r="M33" s="726">
        <f t="shared" si="19"/>
        <v>1.0000000000000009E-3</v>
      </c>
      <c r="N33" s="727">
        <f>N32+(N38-N31)/7</f>
        <v>2.9000000000000001E-2</v>
      </c>
      <c r="O33" s="722">
        <v>171</v>
      </c>
      <c r="P33" s="723">
        <v>148</v>
      </c>
      <c r="Q33" s="724">
        <v>1952</v>
      </c>
      <c r="R33" s="725">
        <v>1753</v>
      </c>
      <c r="S33" s="726">
        <f t="shared" si="20"/>
        <v>1.0000000000000009E-3</v>
      </c>
      <c r="T33" s="727">
        <f>T32+(T38-T31)/7</f>
        <v>2.9000000000000001E-2</v>
      </c>
      <c r="U33" s="722">
        <v>164</v>
      </c>
      <c r="V33" s="723">
        <v>145</v>
      </c>
      <c r="W33" s="724">
        <v>1694</v>
      </c>
      <c r="X33" s="725">
        <v>1535</v>
      </c>
      <c r="Y33" s="726">
        <f t="shared" si="21"/>
        <v>1.0857142857142871E-3</v>
      </c>
      <c r="Z33" s="727">
        <f>Z32+(Z38-Z31)/7</f>
        <v>3.0671428571428575E-2</v>
      </c>
      <c r="AA33" s="722">
        <v>155</v>
      </c>
      <c r="AB33" s="723">
        <v>137</v>
      </c>
      <c r="AC33" s="724">
        <v>1605</v>
      </c>
      <c r="AD33" s="725">
        <v>1455</v>
      </c>
      <c r="AE33" s="726">
        <f t="shared" si="22"/>
        <v>1.1571428571428566E-3</v>
      </c>
      <c r="AF33" s="727">
        <f>AF32+(AF38-AF31)/7</f>
        <v>3.1814285714285712E-2</v>
      </c>
    </row>
    <row r="34" spans="2:32" x14ac:dyDescent="0.2">
      <c r="B34" s="715">
        <f t="shared" si="18"/>
        <v>31</v>
      </c>
      <c r="C34" s="722">
        <v>177</v>
      </c>
      <c r="D34" s="723">
        <v>161</v>
      </c>
      <c r="E34" s="724">
        <v>1891</v>
      </c>
      <c r="F34" s="725">
        <v>1729</v>
      </c>
      <c r="G34" s="726">
        <f t="shared" si="23"/>
        <v>1.4285714285714249E-3</v>
      </c>
      <c r="H34" s="727">
        <f>H33+(H38-H31)/7</f>
        <v>3.8285714285714277E-2</v>
      </c>
      <c r="I34" s="722">
        <v>180</v>
      </c>
      <c r="J34" s="723">
        <v>154</v>
      </c>
      <c r="K34" s="724">
        <v>1879</v>
      </c>
      <c r="L34" s="725">
        <v>1675</v>
      </c>
      <c r="M34" s="726">
        <f t="shared" si="19"/>
        <v>1.0000000000000009E-3</v>
      </c>
      <c r="N34" s="727">
        <f>N33+(N38-N31)/7</f>
        <v>3.0000000000000002E-2</v>
      </c>
      <c r="O34" s="722">
        <v>177</v>
      </c>
      <c r="P34" s="723">
        <v>152</v>
      </c>
      <c r="Q34" s="724">
        <v>2061</v>
      </c>
      <c r="R34" s="725">
        <v>1844</v>
      </c>
      <c r="S34" s="726">
        <f t="shared" si="20"/>
        <v>1.0000000000000009E-3</v>
      </c>
      <c r="T34" s="727">
        <f>T33+(T38-T31)/7</f>
        <v>3.0000000000000002E-2</v>
      </c>
      <c r="U34" s="722">
        <v>170</v>
      </c>
      <c r="V34" s="723">
        <v>150</v>
      </c>
      <c r="W34" s="724">
        <v>1791</v>
      </c>
      <c r="X34" s="725">
        <v>1617</v>
      </c>
      <c r="Y34" s="726">
        <f t="shared" si="21"/>
        <v>1.0857142857142836E-3</v>
      </c>
      <c r="Z34" s="727">
        <f>Z33+(Z38-Z31)/7</f>
        <v>3.1757142857142859E-2</v>
      </c>
      <c r="AA34" s="722">
        <v>161</v>
      </c>
      <c r="AB34" s="723">
        <v>142</v>
      </c>
      <c r="AC34" s="724">
        <v>1697</v>
      </c>
      <c r="AD34" s="725">
        <v>1532</v>
      </c>
      <c r="AE34" s="726">
        <f t="shared" si="22"/>
        <v>1.1571428571428566E-3</v>
      </c>
      <c r="AF34" s="727">
        <f>AF33+(AF38-AF31)/7</f>
        <v>3.2971428571428568E-2</v>
      </c>
    </row>
    <row r="35" spans="2:32" x14ac:dyDescent="0.2">
      <c r="B35" s="715">
        <f t="shared" si="18"/>
        <v>32</v>
      </c>
      <c r="C35" s="722">
        <v>184</v>
      </c>
      <c r="D35" s="723">
        <v>163</v>
      </c>
      <c r="E35" s="724">
        <v>1993</v>
      </c>
      <c r="F35" s="725">
        <v>1817</v>
      </c>
      <c r="G35" s="726">
        <f t="shared" si="23"/>
        <v>1.4285714285714249E-3</v>
      </c>
      <c r="H35" s="727">
        <f>H34+(H38-H31)/7</f>
        <v>3.9714285714285702E-2</v>
      </c>
      <c r="I35" s="722">
        <v>185</v>
      </c>
      <c r="J35" s="723">
        <v>159</v>
      </c>
      <c r="K35" s="724">
        <v>1980</v>
      </c>
      <c r="L35" s="725">
        <v>1758</v>
      </c>
      <c r="M35" s="726">
        <f t="shared" si="19"/>
        <v>1.0000000000000009E-3</v>
      </c>
      <c r="N35" s="727">
        <f>N34+(N38-N31)/7</f>
        <v>3.1000000000000003E-2</v>
      </c>
      <c r="O35" s="722">
        <v>182</v>
      </c>
      <c r="P35" s="723">
        <v>157</v>
      </c>
      <c r="Q35" s="724">
        <v>2171</v>
      </c>
      <c r="R35" s="725">
        <v>1935</v>
      </c>
      <c r="S35" s="726">
        <f t="shared" si="20"/>
        <v>1.0000000000000009E-3</v>
      </c>
      <c r="T35" s="727">
        <f>T34+(T38-T31)/7</f>
        <v>3.1000000000000003E-2</v>
      </c>
      <c r="U35" s="722">
        <v>175</v>
      </c>
      <c r="V35" s="723">
        <v>153</v>
      </c>
      <c r="W35" s="724">
        <v>1887</v>
      </c>
      <c r="X35" s="725">
        <v>1698</v>
      </c>
      <c r="Y35" s="726">
        <f t="shared" si="21"/>
        <v>1.0857142857142871E-3</v>
      </c>
      <c r="Z35" s="727">
        <f>Z34+(Z38-Z31)/7</f>
        <v>3.2842857142857146E-2</v>
      </c>
      <c r="AA35" s="722">
        <v>166</v>
      </c>
      <c r="AB35" s="723">
        <v>145</v>
      </c>
      <c r="AC35" s="724">
        <v>1788</v>
      </c>
      <c r="AD35" s="725">
        <v>1609</v>
      </c>
      <c r="AE35" s="726">
        <f t="shared" si="22"/>
        <v>1.1571428571428566E-3</v>
      </c>
      <c r="AF35" s="727">
        <f>AF34+(AF38-AF31)/7</f>
        <v>3.4128571428571425E-2</v>
      </c>
    </row>
    <row r="36" spans="2:32" x14ac:dyDescent="0.2">
      <c r="B36" s="715">
        <f t="shared" si="18"/>
        <v>33</v>
      </c>
      <c r="C36" s="722">
        <v>192</v>
      </c>
      <c r="D36" s="723">
        <v>165</v>
      </c>
      <c r="E36" s="724">
        <v>2095</v>
      </c>
      <c r="F36" s="725">
        <v>1906</v>
      </c>
      <c r="G36" s="726">
        <f t="shared" si="23"/>
        <v>1.4285714285714249E-3</v>
      </c>
      <c r="H36" s="727">
        <f>H35+(H38-H31)/7</f>
        <v>4.1142857142857127E-2</v>
      </c>
      <c r="I36" s="722">
        <v>191</v>
      </c>
      <c r="J36" s="723">
        <v>163</v>
      </c>
      <c r="K36" s="724">
        <v>2081</v>
      </c>
      <c r="L36" s="725">
        <v>1841</v>
      </c>
      <c r="M36" s="726">
        <f t="shared" si="19"/>
        <v>9.9999999999999742E-4</v>
      </c>
      <c r="N36" s="727">
        <f>N35+(N38-N31)/7</f>
        <v>3.2000000000000001E-2</v>
      </c>
      <c r="O36" s="722">
        <v>188</v>
      </c>
      <c r="P36" s="723">
        <v>161</v>
      </c>
      <c r="Q36" s="724">
        <v>2283</v>
      </c>
      <c r="R36" s="725">
        <v>2026</v>
      </c>
      <c r="S36" s="726">
        <f t="shared" si="20"/>
        <v>9.9999999999999742E-4</v>
      </c>
      <c r="T36" s="727">
        <f>T35+(T38-T31)/7</f>
        <v>3.2000000000000001E-2</v>
      </c>
      <c r="U36" s="722">
        <v>182</v>
      </c>
      <c r="V36" s="723">
        <v>156</v>
      </c>
      <c r="W36" s="724">
        <v>1984</v>
      </c>
      <c r="X36" s="725">
        <v>1780</v>
      </c>
      <c r="Y36" s="726">
        <f t="shared" si="21"/>
        <v>1.0857142857142871E-3</v>
      </c>
      <c r="Z36" s="727">
        <f>Z35+(Z38-Z31)/7</f>
        <v>3.3928571428571433E-2</v>
      </c>
      <c r="AA36" s="722">
        <v>172</v>
      </c>
      <c r="AB36" s="723">
        <v>148</v>
      </c>
      <c r="AC36" s="724">
        <v>1879</v>
      </c>
      <c r="AD36" s="725">
        <v>1686</v>
      </c>
      <c r="AE36" s="726">
        <f t="shared" si="22"/>
        <v>1.1571428571428566E-3</v>
      </c>
      <c r="AF36" s="727">
        <f>AF35+(AF38-AF31)/7</f>
        <v>3.5285714285714281E-2</v>
      </c>
    </row>
    <row r="37" spans="2:32" x14ac:dyDescent="0.2">
      <c r="B37" s="715">
        <f t="shared" si="18"/>
        <v>34</v>
      </c>
      <c r="C37" s="722">
        <v>200</v>
      </c>
      <c r="D37" s="723">
        <v>167</v>
      </c>
      <c r="E37" s="724">
        <v>2197</v>
      </c>
      <c r="F37" s="725">
        <v>1994</v>
      </c>
      <c r="G37" s="726">
        <f t="shared" si="23"/>
        <v>1.4285714285714249E-3</v>
      </c>
      <c r="H37" s="727">
        <f>H36+(H38-H31)/7</f>
        <v>4.2571428571428552E-2</v>
      </c>
      <c r="I37" s="722">
        <v>196</v>
      </c>
      <c r="J37" s="723">
        <v>167</v>
      </c>
      <c r="K37" s="724">
        <v>2182</v>
      </c>
      <c r="L37" s="725">
        <v>1923</v>
      </c>
      <c r="M37" s="726">
        <f t="shared" si="19"/>
        <v>1.0000000000000009E-3</v>
      </c>
      <c r="N37" s="727">
        <f>N36+(N38-N31)/7</f>
        <v>3.3000000000000002E-2</v>
      </c>
      <c r="O37" s="722">
        <v>194</v>
      </c>
      <c r="P37" s="723">
        <v>166</v>
      </c>
      <c r="Q37" s="724">
        <v>2395</v>
      </c>
      <c r="R37" s="725">
        <v>2118</v>
      </c>
      <c r="S37" s="726">
        <f t="shared" si="20"/>
        <v>1.0000000000000009E-3</v>
      </c>
      <c r="T37" s="727">
        <f>T36+(T38-T31)/7</f>
        <v>3.3000000000000002E-2</v>
      </c>
      <c r="U37" s="722">
        <v>188</v>
      </c>
      <c r="V37" s="723">
        <v>159</v>
      </c>
      <c r="W37" s="724">
        <v>2080</v>
      </c>
      <c r="X37" s="725">
        <v>1861</v>
      </c>
      <c r="Y37" s="726">
        <f t="shared" si="21"/>
        <v>1.0857142857142871E-3</v>
      </c>
      <c r="Z37" s="727">
        <f>Z36+(Z38-Z31)/7</f>
        <v>3.501428571428572E-2</v>
      </c>
      <c r="AA37" s="722">
        <v>178</v>
      </c>
      <c r="AB37" s="723">
        <v>150</v>
      </c>
      <c r="AC37" s="724">
        <v>1971</v>
      </c>
      <c r="AD37" s="725">
        <v>1763</v>
      </c>
      <c r="AE37" s="726">
        <f t="shared" si="22"/>
        <v>1.1571428571428566E-3</v>
      </c>
      <c r="AF37" s="727">
        <f>AF36+(AF38-AF31)/7</f>
        <v>3.6442857142857138E-2</v>
      </c>
    </row>
    <row r="38" spans="2:32" x14ac:dyDescent="0.2">
      <c r="B38" s="715">
        <f t="shared" si="18"/>
        <v>35</v>
      </c>
      <c r="C38" s="722">
        <v>209</v>
      </c>
      <c r="D38" s="723">
        <v>169</v>
      </c>
      <c r="E38" s="724">
        <v>2299</v>
      </c>
      <c r="F38" s="725">
        <v>2083</v>
      </c>
      <c r="G38" s="726">
        <f t="shared" si="23"/>
        <v>1.4285714285714457E-3</v>
      </c>
      <c r="H38" s="728">
        <v>4.3999999999999997E-2</v>
      </c>
      <c r="I38" s="722">
        <v>202</v>
      </c>
      <c r="J38" s="723">
        <v>171</v>
      </c>
      <c r="K38" s="724">
        <v>2283</v>
      </c>
      <c r="L38" s="725">
        <v>2006</v>
      </c>
      <c r="M38" s="726">
        <f t="shared" si="19"/>
        <v>1.0000000000000009E-3</v>
      </c>
      <c r="N38" s="728">
        <v>3.4000000000000002E-2</v>
      </c>
      <c r="O38" s="722">
        <v>199</v>
      </c>
      <c r="P38" s="723">
        <v>170</v>
      </c>
      <c r="Q38" s="724">
        <v>2509</v>
      </c>
      <c r="R38" s="725">
        <v>2211</v>
      </c>
      <c r="S38" s="726">
        <f t="shared" si="20"/>
        <v>1.0000000000000009E-3</v>
      </c>
      <c r="T38" s="728">
        <v>3.4000000000000002E-2</v>
      </c>
      <c r="U38" s="722">
        <v>195</v>
      </c>
      <c r="V38" s="723">
        <v>162</v>
      </c>
      <c r="W38" s="724">
        <v>2176</v>
      </c>
      <c r="X38" s="725">
        <v>1942</v>
      </c>
      <c r="Y38" s="726">
        <f t="shared" si="21"/>
        <v>1.0857142857142801E-3</v>
      </c>
      <c r="Z38" s="728">
        <v>3.61E-2</v>
      </c>
      <c r="AA38" s="722">
        <v>185</v>
      </c>
      <c r="AB38" s="723">
        <v>153</v>
      </c>
      <c r="AC38" s="724">
        <v>2062</v>
      </c>
      <c r="AD38" s="725">
        <v>1840</v>
      </c>
      <c r="AE38" s="726">
        <f t="shared" si="22"/>
        <v>1.1571428571428635E-3</v>
      </c>
      <c r="AF38" s="728">
        <v>3.7600000000000001E-2</v>
      </c>
    </row>
    <row r="39" spans="2:32" x14ac:dyDescent="0.2">
      <c r="B39" s="715">
        <f t="shared" si="18"/>
        <v>36</v>
      </c>
      <c r="C39" s="722">
        <v>212</v>
      </c>
      <c r="D39" s="723">
        <v>175</v>
      </c>
      <c r="E39" s="724">
        <v>2405</v>
      </c>
      <c r="F39" s="725">
        <v>2167</v>
      </c>
      <c r="G39" s="726">
        <f t="shared" si="23"/>
        <v>1.7142857142857168E-3</v>
      </c>
      <c r="H39" s="727">
        <f>H38+(H45-H38)/7</f>
        <v>4.5714285714285714E-2</v>
      </c>
      <c r="I39" s="722">
        <v>207</v>
      </c>
      <c r="J39" s="723">
        <v>175</v>
      </c>
      <c r="K39" s="724">
        <v>2389</v>
      </c>
      <c r="L39" s="725">
        <v>2090</v>
      </c>
      <c r="M39" s="726">
        <f t="shared" si="19"/>
        <v>1.2857142857142859E-3</v>
      </c>
      <c r="N39" s="727">
        <f>N38+(N45-N38)/7</f>
        <v>3.5285714285714288E-2</v>
      </c>
      <c r="O39" s="722">
        <v>204</v>
      </c>
      <c r="P39" s="723">
        <v>174</v>
      </c>
      <c r="Q39" s="724">
        <v>2623</v>
      </c>
      <c r="R39" s="725">
        <v>2303</v>
      </c>
      <c r="S39" s="726">
        <f t="shared" si="20"/>
        <v>1.2857142857142859E-3</v>
      </c>
      <c r="T39" s="727">
        <f>T38+(T45-T38)/7</f>
        <v>3.5285714285714288E-2</v>
      </c>
      <c r="U39" s="722">
        <v>199</v>
      </c>
      <c r="V39" s="723">
        <v>166</v>
      </c>
      <c r="W39" s="724">
        <v>2277</v>
      </c>
      <c r="X39" s="725">
        <v>2022</v>
      </c>
      <c r="Y39" s="726">
        <f t="shared" si="21"/>
        <v>1.3571428571428554E-3</v>
      </c>
      <c r="Z39" s="727">
        <f>Z38+(Z45-Z38)/7</f>
        <v>3.7457142857142856E-2</v>
      </c>
      <c r="AA39" s="722">
        <v>189</v>
      </c>
      <c r="AB39" s="723">
        <v>158</v>
      </c>
      <c r="AC39" s="724">
        <v>2157</v>
      </c>
      <c r="AD39" s="725">
        <v>1916</v>
      </c>
      <c r="AE39" s="726">
        <f t="shared" si="22"/>
        <v>1.4142857142857151E-3</v>
      </c>
      <c r="AF39" s="727">
        <f>AF38+(AF45-AF38)/7</f>
        <v>3.9014285714285717E-2</v>
      </c>
    </row>
    <row r="40" spans="2:32" x14ac:dyDescent="0.2">
      <c r="B40" s="715">
        <f t="shared" si="18"/>
        <v>37</v>
      </c>
      <c r="C40" s="722">
        <v>215</v>
      </c>
      <c r="D40" s="723">
        <v>179</v>
      </c>
      <c r="E40" s="724">
        <v>2512</v>
      </c>
      <c r="F40" s="725">
        <v>2251</v>
      </c>
      <c r="G40" s="726">
        <f t="shared" si="23"/>
        <v>1.7142857142857168E-3</v>
      </c>
      <c r="H40" s="727">
        <f>H39+(H45-H38)/7</f>
        <v>4.7428571428571431E-2</v>
      </c>
      <c r="I40" s="722">
        <v>211</v>
      </c>
      <c r="J40" s="723">
        <v>178</v>
      </c>
      <c r="K40" s="724">
        <v>2494</v>
      </c>
      <c r="L40" s="725">
        <v>2174</v>
      </c>
      <c r="M40" s="726">
        <f t="shared" si="19"/>
        <v>1.2857142857142859E-3</v>
      </c>
      <c r="N40" s="727">
        <f>N39+(N45-N38)/7</f>
        <v>3.6571428571428574E-2</v>
      </c>
      <c r="O40" s="722">
        <v>209</v>
      </c>
      <c r="P40" s="723">
        <v>177</v>
      </c>
      <c r="Q40" s="724">
        <v>2738</v>
      </c>
      <c r="R40" s="725">
        <v>2396</v>
      </c>
      <c r="S40" s="726">
        <f t="shared" si="20"/>
        <v>1.2857142857142859E-3</v>
      </c>
      <c r="T40" s="727">
        <f>T39+(T45-T38)/7</f>
        <v>3.6571428571428574E-2</v>
      </c>
      <c r="U40" s="722">
        <v>202</v>
      </c>
      <c r="V40" s="723">
        <v>170</v>
      </c>
      <c r="W40" s="724">
        <v>2378</v>
      </c>
      <c r="X40" s="725">
        <v>2102</v>
      </c>
      <c r="Y40" s="726">
        <f t="shared" si="21"/>
        <v>1.3571428571428554E-3</v>
      </c>
      <c r="Z40" s="727">
        <f>Z39+(Z45-Z38)/7</f>
        <v>3.8814285714285711E-2</v>
      </c>
      <c r="AA40" s="722">
        <v>192</v>
      </c>
      <c r="AB40" s="723">
        <v>161</v>
      </c>
      <c r="AC40" s="724">
        <v>2253</v>
      </c>
      <c r="AD40" s="725">
        <v>1991</v>
      </c>
      <c r="AE40" s="726">
        <f t="shared" si="22"/>
        <v>1.4142857142857151E-3</v>
      </c>
      <c r="AF40" s="727">
        <f>AF39+(AF45-AF38)/7</f>
        <v>4.0428571428571432E-2</v>
      </c>
    </row>
    <row r="41" spans="2:32" x14ac:dyDescent="0.2">
      <c r="B41" s="715">
        <f t="shared" si="18"/>
        <v>38</v>
      </c>
      <c r="C41" s="722">
        <v>218</v>
      </c>
      <c r="D41" s="723">
        <v>184</v>
      </c>
      <c r="E41" s="724">
        <v>2618</v>
      </c>
      <c r="F41" s="725">
        <v>2335</v>
      </c>
      <c r="G41" s="726">
        <f t="shared" si="23"/>
        <v>1.7142857142857168E-3</v>
      </c>
      <c r="H41" s="727">
        <f>H40+(H45-H38)/7</f>
        <v>4.9142857142857148E-2</v>
      </c>
      <c r="I41" s="722">
        <v>216</v>
      </c>
      <c r="J41" s="723">
        <v>182</v>
      </c>
      <c r="K41" s="724">
        <v>2600</v>
      </c>
      <c r="L41" s="725">
        <v>2258</v>
      </c>
      <c r="M41" s="726">
        <f t="shared" si="19"/>
        <v>1.2857142857142859E-3</v>
      </c>
      <c r="N41" s="727">
        <f>N40+(N45-N38)/7</f>
        <v>3.785714285714286E-2</v>
      </c>
      <c r="O41" s="722">
        <v>214</v>
      </c>
      <c r="P41" s="723">
        <v>181</v>
      </c>
      <c r="Q41" s="724">
        <v>2853</v>
      </c>
      <c r="R41" s="725">
        <v>2489</v>
      </c>
      <c r="S41" s="726">
        <f t="shared" si="20"/>
        <v>1.2857142857142859E-3</v>
      </c>
      <c r="T41" s="727">
        <f>T40+(T45-T38)/7</f>
        <v>3.785714285714286E-2</v>
      </c>
      <c r="U41" s="722">
        <v>206</v>
      </c>
      <c r="V41" s="723">
        <v>174</v>
      </c>
      <c r="W41" s="724">
        <v>2479</v>
      </c>
      <c r="X41" s="725">
        <v>2182</v>
      </c>
      <c r="Y41" s="726">
        <f t="shared" si="21"/>
        <v>1.3571428571428554E-3</v>
      </c>
      <c r="Z41" s="727">
        <f>Z40+(Z45-Z38)/7</f>
        <v>4.0171428571428566E-2</v>
      </c>
      <c r="AA41" s="722">
        <v>195</v>
      </c>
      <c r="AB41" s="723">
        <v>165</v>
      </c>
      <c r="AC41" s="724">
        <v>2348</v>
      </c>
      <c r="AD41" s="725">
        <v>2067</v>
      </c>
      <c r="AE41" s="726">
        <f t="shared" si="22"/>
        <v>1.4142857142857151E-3</v>
      </c>
      <c r="AF41" s="727">
        <f>AF40+(AF45-AF38)/7</f>
        <v>4.1842857142857147E-2</v>
      </c>
    </row>
    <row r="42" spans="2:32" x14ac:dyDescent="0.2">
      <c r="B42" s="715">
        <f t="shared" si="18"/>
        <v>39</v>
      </c>
      <c r="C42" s="722">
        <v>221</v>
      </c>
      <c r="D42" s="723">
        <v>189</v>
      </c>
      <c r="E42" s="724">
        <v>2725</v>
      </c>
      <c r="F42" s="725">
        <v>2419</v>
      </c>
      <c r="G42" s="726">
        <f t="shared" si="23"/>
        <v>1.7142857142857168E-3</v>
      </c>
      <c r="H42" s="727">
        <f>H41+(H45-H38)/7</f>
        <v>5.0857142857142865E-2</v>
      </c>
      <c r="I42" s="722">
        <v>221</v>
      </c>
      <c r="J42" s="723">
        <v>185</v>
      </c>
      <c r="K42" s="724">
        <v>2706</v>
      </c>
      <c r="L42" s="725">
        <v>2343</v>
      </c>
      <c r="M42" s="726">
        <f t="shared" si="19"/>
        <v>1.2857142857142859E-3</v>
      </c>
      <c r="N42" s="727">
        <f>N41+(N45-N38)/7</f>
        <v>3.9142857142857146E-2</v>
      </c>
      <c r="O42" s="722">
        <v>218</v>
      </c>
      <c r="P42" s="723">
        <v>184</v>
      </c>
      <c r="Q42" s="724">
        <v>2969</v>
      </c>
      <c r="R42" s="725">
        <v>2581</v>
      </c>
      <c r="S42" s="726">
        <f t="shared" si="20"/>
        <v>1.2857142857142859E-3</v>
      </c>
      <c r="T42" s="727">
        <f>T41+(T45-T38)/7</f>
        <v>3.9142857142857146E-2</v>
      </c>
      <c r="U42" s="722">
        <v>210</v>
      </c>
      <c r="V42" s="723">
        <v>178</v>
      </c>
      <c r="W42" s="724">
        <v>2580</v>
      </c>
      <c r="X42" s="725">
        <v>2262</v>
      </c>
      <c r="Y42" s="726">
        <f t="shared" si="21"/>
        <v>1.3571428571428554E-3</v>
      </c>
      <c r="Z42" s="727">
        <f>Z41+(Z45-Z38)/7</f>
        <v>4.1528571428571422E-2</v>
      </c>
      <c r="AA42" s="722">
        <v>199</v>
      </c>
      <c r="AB42" s="723">
        <v>168</v>
      </c>
      <c r="AC42" s="724">
        <v>2444</v>
      </c>
      <c r="AD42" s="725">
        <v>2143</v>
      </c>
      <c r="AE42" s="726">
        <f t="shared" si="22"/>
        <v>1.4142857142857151E-3</v>
      </c>
      <c r="AF42" s="727">
        <f>AF41+(AF45-AF38)/7</f>
        <v>4.3257142857142862E-2</v>
      </c>
    </row>
    <row r="43" spans="2:32" x14ac:dyDescent="0.2">
      <c r="B43" s="715">
        <f t="shared" si="18"/>
        <v>40</v>
      </c>
      <c r="C43" s="722">
        <v>225</v>
      </c>
      <c r="D43" s="723">
        <v>193</v>
      </c>
      <c r="E43" s="724">
        <v>2831</v>
      </c>
      <c r="F43" s="725">
        <v>2503</v>
      </c>
      <c r="G43" s="726">
        <f t="shared" si="23"/>
        <v>1.7142857142857168E-3</v>
      </c>
      <c r="H43" s="727">
        <f>H42+(H45-H38)/7</f>
        <v>5.2571428571428581E-2</v>
      </c>
      <c r="I43" s="722">
        <v>225</v>
      </c>
      <c r="J43" s="723">
        <v>188</v>
      </c>
      <c r="K43" s="724">
        <v>2812</v>
      </c>
      <c r="L43" s="725">
        <v>2427</v>
      </c>
      <c r="M43" s="726">
        <f t="shared" si="19"/>
        <v>1.2857142857142859E-3</v>
      </c>
      <c r="N43" s="727">
        <f>N42+(N45-N38)/7</f>
        <v>4.0428571428571432E-2</v>
      </c>
      <c r="O43" s="722">
        <v>223</v>
      </c>
      <c r="P43" s="723">
        <v>187</v>
      </c>
      <c r="Q43" s="724">
        <v>3085</v>
      </c>
      <c r="R43" s="725">
        <v>2673</v>
      </c>
      <c r="S43" s="726">
        <f t="shared" si="20"/>
        <v>1.2857142857142859E-3</v>
      </c>
      <c r="T43" s="727">
        <f>T42+(T45-T38)/7</f>
        <v>4.0428571428571432E-2</v>
      </c>
      <c r="U43" s="722">
        <v>214</v>
      </c>
      <c r="V43" s="723">
        <v>181</v>
      </c>
      <c r="W43" s="724">
        <v>2680</v>
      </c>
      <c r="X43" s="725">
        <v>2342</v>
      </c>
      <c r="Y43" s="726">
        <f t="shared" si="21"/>
        <v>1.3571428571428554E-3</v>
      </c>
      <c r="Z43" s="727">
        <f>Z42+(Z45-Z38)/7</f>
        <v>4.2885714285714277E-2</v>
      </c>
      <c r="AA43" s="722">
        <v>203</v>
      </c>
      <c r="AB43" s="723">
        <v>171</v>
      </c>
      <c r="AC43" s="724">
        <v>2539</v>
      </c>
      <c r="AD43" s="725">
        <v>2218</v>
      </c>
      <c r="AE43" s="726">
        <f t="shared" si="22"/>
        <v>1.4142857142857151E-3</v>
      </c>
      <c r="AF43" s="727">
        <f>AF42+(AF45-AF38)/7</f>
        <v>4.4671428571428577E-2</v>
      </c>
    </row>
    <row r="44" spans="2:32" x14ac:dyDescent="0.2">
      <c r="B44" s="715">
        <f t="shared" si="18"/>
        <v>41</v>
      </c>
      <c r="C44" s="722">
        <v>229</v>
      </c>
      <c r="D44" s="723">
        <v>197</v>
      </c>
      <c r="E44" s="724">
        <v>2938</v>
      </c>
      <c r="F44" s="725">
        <v>2587</v>
      </c>
      <c r="G44" s="726">
        <f t="shared" si="23"/>
        <v>1.7142857142857168E-3</v>
      </c>
      <c r="H44" s="727">
        <f>H43+(H45-H38)/7</f>
        <v>5.4285714285714298E-2</v>
      </c>
      <c r="I44" s="722">
        <v>229</v>
      </c>
      <c r="J44" s="723">
        <v>192</v>
      </c>
      <c r="K44" s="724">
        <v>2917</v>
      </c>
      <c r="L44" s="725">
        <v>2511</v>
      </c>
      <c r="M44" s="726">
        <f t="shared" si="19"/>
        <v>1.2857142857142859E-3</v>
      </c>
      <c r="N44" s="727">
        <f>N43+(N45-N38)/7</f>
        <v>4.1714285714285718E-2</v>
      </c>
      <c r="O44" s="722">
        <v>227</v>
      </c>
      <c r="P44" s="723">
        <v>190</v>
      </c>
      <c r="Q44" s="724">
        <v>3200</v>
      </c>
      <c r="R44" s="725">
        <v>2765</v>
      </c>
      <c r="S44" s="726">
        <f t="shared" si="20"/>
        <v>1.2857142857142859E-3</v>
      </c>
      <c r="T44" s="727">
        <f>T43+(T45-T38)/7</f>
        <v>4.1714285714285718E-2</v>
      </c>
      <c r="U44" s="722">
        <v>218</v>
      </c>
      <c r="V44" s="723">
        <v>185</v>
      </c>
      <c r="W44" s="724">
        <v>2781</v>
      </c>
      <c r="X44" s="725">
        <v>2421</v>
      </c>
      <c r="Y44" s="726">
        <f t="shared" si="21"/>
        <v>1.3571428571428554E-3</v>
      </c>
      <c r="Z44" s="727">
        <f>Z43+(Z45-Z38)/7</f>
        <v>4.4242857142857132E-2</v>
      </c>
      <c r="AA44" s="722">
        <v>206</v>
      </c>
      <c r="AB44" s="723">
        <v>175</v>
      </c>
      <c r="AC44" s="724">
        <v>2635</v>
      </c>
      <c r="AD44" s="725">
        <v>2294</v>
      </c>
      <c r="AE44" s="726">
        <f t="shared" si="22"/>
        <v>1.4142857142857151E-3</v>
      </c>
      <c r="AF44" s="727">
        <f>AF43+(AF45-AF38)/7</f>
        <v>4.6085714285714292E-2</v>
      </c>
    </row>
    <row r="45" spans="2:32" x14ac:dyDescent="0.2">
      <c r="B45" s="715">
        <f t="shared" si="18"/>
        <v>42</v>
      </c>
      <c r="C45" s="722">
        <v>233</v>
      </c>
      <c r="D45" s="723">
        <v>199</v>
      </c>
      <c r="E45" s="724">
        <v>3044</v>
      </c>
      <c r="F45" s="725">
        <v>2671</v>
      </c>
      <c r="G45" s="726">
        <f t="shared" si="23"/>
        <v>1.7142857142857029E-3</v>
      </c>
      <c r="H45" s="728">
        <v>5.6000000000000001E-2</v>
      </c>
      <c r="I45" s="722">
        <v>232</v>
      </c>
      <c r="J45" s="723">
        <v>194</v>
      </c>
      <c r="K45" s="724">
        <v>3023</v>
      </c>
      <c r="L45" s="725">
        <v>2595</v>
      </c>
      <c r="M45" s="726">
        <f t="shared" si="19"/>
        <v>1.2857142857142789E-3</v>
      </c>
      <c r="N45" s="728">
        <v>4.2999999999999997E-2</v>
      </c>
      <c r="O45" s="722">
        <v>231</v>
      </c>
      <c r="P45" s="723">
        <v>193</v>
      </c>
      <c r="Q45" s="724">
        <v>3316</v>
      </c>
      <c r="R45" s="725">
        <v>2856</v>
      </c>
      <c r="S45" s="726">
        <f t="shared" si="20"/>
        <v>1.2857142857142789E-3</v>
      </c>
      <c r="T45" s="728">
        <v>4.2999999999999997E-2</v>
      </c>
      <c r="U45" s="722">
        <v>221</v>
      </c>
      <c r="V45" s="723">
        <v>187</v>
      </c>
      <c r="W45" s="724">
        <v>2882</v>
      </c>
      <c r="X45" s="725">
        <v>2501</v>
      </c>
      <c r="Y45" s="726">
        <f t="shared" si="21"/>
        <v>1.3571428571428693E-3</v>
      </c>
      <c r="Z45" s="728">
        <v>4.5600000000000002E-2</v>
      </c>
      <c r="AA45" s="722">
        <v>209</v>
      </c>
      <c r="AB45" s="723">
        <v>177</v>
      </c>
      <c r="AC45" s="724">
        <v>2730</v>
      </c>
      <c r="AD45" s="725">
        <v>2370</v>
      </c>
      <c r="AE45" s="726">
        <f t="shared" si="22"/>
        <v>1.4142857142857082E-3</v>
      </c>
      <c r="AF45" s="728">
        <v>4.7500000000000001E-2</v>
      </c>
    </row>
    <row r="46" spans="2:32" x14ac:dyDescent="0.2">
      <c r="B46" s="715">
        <f t="shared" si="18"/>
        <v>43</v>
      </c>
      <c r="C46" s="722">
        <v>237</v>
      </c>
      <c r="D46" s="723">
        <v>203</v>
      </c>
      <c r="E46" s="724">
        <v>3150</v>
      </c>
      <c r="F46" s="725">
        <v>2750</v>
      </c>
      <c r="G46" s="726">
        <f t="shared" si="23"/>
        <v>1.7142857142857168E-3</v>
      </c>
      <c r="H46" s="727">
        <f>H45+(H52-H45)/7</f>
        <v>5.7714285714285718E-2</v>
      </c>
      <c r="I46" s="722">
        <v>236</v>
      </c>
      <c r="J46" s="723">
        <v>197</v>
      </c>
      <c r="K46" s="724">
        <v>3127</v>
      </c>
      <c r="L46" s="725">
        <v>2676</v>
      </c>
      <c r="M46" s="726">
        <f t="shared" si="19"/>
        <v>1.2857142857142859E-3</v>
      </c>
      <c r="N46" s="727">
        <f>N45+(N52-N45)/7</f>
        <v>4.4285714285714282E-2</v>
      </c>
      <c r="O46" s="722">
        <v>234</v>
      </c>
      <c r="P46" s="723">
        <v>196</v>
      </c>
      <c r="Q46" s="724">
        <v>3431</v>
      </c>
      <c r="R46" s="725">
        <v>2946</v>
      </c>
      <c r="S46" s="726">
        <f t="shared" si="20"/>
        <v>1.2857142857142859E-3</v>
      </c>
      <c r="T46" s="727">
        <f>T45+(T52-T45)/7</f>
        <v>4.4285714285714282E-2</v>
      </c>
      <c r="U46" s="722">
        <v>225</v>
      </c>
      <c r="V46" s="723">
        <v>190</v>
      </c>
      <c r="W46" s="724">
        <v>2982</v>
      </c>
      <c r="X46" s="725">
        <v>2578</v>
      </c>
      <c r="Y46" s="726">
        <f t="shared" si="21"/>
        <v>1.3428571428571456E-3</v>
      </c>
      <c r="Z46" s="727">
        <f>Z45+(Z52-Z45)/7</f>
        <v>4.6942857142857147E-2</v>
      </c>
      <c r="AA46" s="722">
        <v>213</v>
      </c>
      <c r="AB46" s="723">
        <v>180</v>
      </c>
      <c r="AC46" s="724">
        <v>2825</v>
      </c>
      <c r="AD46" s="725">
        <v>2442</v>
      </c>
      <c r="AE46" s="726">
        <f t="shared" si="22"/>
        <v>1.4285714285714318E-3</v>
      </c>
      <c r="AF46" s="727">
        <f>AF45+(AF52-AF45)/7</f>
        <v>4.8928571428571432E-2</v>
      </c>
    </row>
    <row r="47" spans="2:32" x14ac:dyDescent="0.2">
      <c r="B47" s="715">
        <f t="shared" si="18"/>
        <v>44</v>
      </c>
      <c r="C47" s="722">
        <v>241</v>
      </c>
      <c r="D47" s="723">
        <v>203</v>
      </c>
      <c r="E47" s="724">
        <v>3256</v>
      </c>
      <c r="F47" s="725">
        <v>2830</v>
      </c>
      <c r="G47" s="726">
        <f t="shared" si="23"/>
        <v>1.7142857142857168E-3</v>
      </c>
      <c r="H47" s="727">
        <f>H46+(H52-H45)/7</f>
        <v>5.9428571428571435E-2</v>
      </c>
      <c r="I47" s="722">
        <v>239</v>
      </c>
      <c r="J47" s="723">
        <v>200</v>
      </c>
      <c r="K47" s="724">
        <v>3231</v>
      </c>
      <c r="L47" s="725">
        <v>2758</v>
      </c>
      <c r="M47" s="726">
        <f t="shared" si="19"/>
        <v>1.2857142857142859E-3</v>
      </c>
      <c r="N47" s="727">
        <f>N46+(N52-N45)/7</f>
        <v>4.5571428571428568E-2</v>
      </c>
      <c r="O47" s="722">
        <v>238</v>
      </c>
      <c r="P47" s="723">
        <v>198</v>
      </c>
      <c r="Q47" s="724">
        <v>3546</v>
      </c>
      <c r="R47" s="725">
        <v>3036</v>
      </c>
      <c r="S47" s="726">
        <f t="shared" si="20"/>
        <v>1.2857142857142859E-3</v>
      </c>
      <c r="T47" s="727">
        <f>T46+(T52-T45)/7</f>
        <v>4.5571428571428568E-2</v>
      </c>
      <c r="U47" s="722">
        <v>228</v>
      </c>
      <c r="V47" s="723">
        <v>191</v>
      </c>
      <c r="W47" s="724">
        <v>3081</v>
      </c>
      <c r="X47" s="725">
        <v>2654</v>
      </c>
      <c r="Y47" s="726">
        <f t="shared" si="21"/>
        <v>1.3428571428571456E-3</v>
      </c>
      <c r="Z47" s="727">
        <f>Z46+(Z52-Z45)/7</f>
        <v>4.8285714285714293E-2</v>
      </c>
      <c r="AA47" s="722">
        <v>216</v>
      </c>
      <c r="AB47" s="723">
        <v>181</v>
      </c>
      <c r="AC47" s="724">
        <v>2919</v>
      </c>
      <c r="AD47" s="725">
        <v>2514</v>
      </c>
      <c r="AE47" s="726">
        <f t="shared" si="22"/>
        <v>1.4285714285714318E-3</v>
      </c>
      <c r="AF47" s="727">
        <f>AF46+(AF52-AF45)/7</f>
        <v>5.0357142857142864E-2</v>
      </c>
    </row>
    <row r="48" spans="2:32" x14ac:dyDescent="0.2">
      <c r="B48" s="715">
        <f t="shared" si="18"/>
        <v>45</v>
      </c>
      <c r="C48" s="722">
        <v>245</v>
      </c>
      <c r="D48" s="723">
        <v>205</v>
      </c>
      <c r="E48" s="724">
        <v>3362</v>
      </c>
      <c r="F48" s="725">
        <v>2909</v>
      </c>
      <c r="G48" s="726">
        <f t="shared" si="23"/>
        <v>1.7142857142857168E-3</v>
      </c>
      <c r="H48" s="727">
        <f>H47+(H52-H45)/7</f>
        <v>6.1142857142857152E-2</v>
      </c>
      <c r="I48" s="722">
        <v>243</v>
      </c>
      <c r="J48" s="723">
        <v>202</v>
      </c>
      <c r="K48" s="724">
        <v>3335</v>
      </c>
      <c r="L48" s="725">
        <v>2839</v>
      </c>
      <c r="M48" s="726">
        <f t="shared" si="19"/>
        <v>1.2857142857142859E-3</v>
      </c>
      <c r="N48" s="727">
        <f>N47+(N52-N45)/7</f>
        <v>4.6857142857142854E-2</v>
      </c>
      <c r="O48" s="722">
        <v>241</v>
      </c>
      <c r="P48" s="723">
        <v>201</v>
      </c>
      <c r="Q48" s="724">
        <v>3660</v>
      </c>
      <c r="R48" s="725">
        <v>3125</v>
      </c>
      <c r="S48" s="726">
        <f t="shared" si="20"/>
        <v>1.2857142857142859E-3</v>
      </c>
      <c r="T48" s="727">
        <f>T47+(T52-T45)/7</f>
        <v>4.6857142857142854E-2</v>
      </c>
      <c r="U48" s="722">
        <v>232</v>
      </c>
      <c r="V48" s="723">
        <v>193</v>
      </c>
      <c r="W48" s="724">
        <v>3181</v>
      </c>
      <c r="X48" s="725">
        <v>2730</v>
      </c>
      <c r="Y48" s="726">
        <f t="shared" si="21"/>
        <v>1.3428571428571456E-3</v>
      </c>
      <c r="Z48" s="727">
        <f>Z47+(Z52-Z45)/7</f>
        <v>4.9628571428571439E-2</v>
      </c>
      <c r="AA48" s="722">
        <v>220</v>
      </c>
      <c r="AB48" s="723">
        <v>183</v>
      </c>
      <c r="AC48" s="724">
        <v>3013</v>
      </c>
      <c r="AD48" s="725">
        <v>2587</v>
      </c>
      <c r="AE48" s="726">
        <f t="shared" si="22"/>
        <v>1.4285714285714318E-3</v>
      </c>
      <c r="AF48" s="727">
        <f>AF47+(AF52-AF45)/7</f>
        <v>5.1785714285714296E-2</v>
      </c>
    </row>
    <row r="49" spans="2:32" x14ac:dyDescent="0.2">
      <c r="B49" s="715">
        <f t="shared" si="18"/>
        <v>46</v>
      </c>
      <c r="C49" s="722">
        <v>250</v>
      </c>
      <c r="D49" s="723">
        <v>204</v>
      </c>
      <c r="E49" s="724">
        <v>3468</v>
      </c>
      <c r="F49" s="725">
        <v>2988</v>
      </c>
      <c r="G49" s="726">
        <f t="shared" si="23"/>
        <v>1.7142857142857099E-3</v>
      </c>
      <c r="H49" s="727">
        <f>H48+(H52-H45)/7</f>
        <v>6.2857142857142861E-2</v>
      </c>
      <c r="I49" s="722">
        <v>246</v>
      </c>
      <c r="J49" s="723">
        <v>205</v>
      </c>
      <c r="K49" s="724">
        <v>3438</v>
      </c>
      <c r="L49" s="725">
        <v>2921</v>
      </c>
      <c r="M49" s="726">
        <f t="shared" si="19"/>
        <v>1.2857142857142859E-3</v>
      </c>
      <c r="N49" s="727">
        <f>N48+(N52-N45)/7</f>
        <v>4.814285714285714E-2</v>
      </c>
      <c r="O49" s="722">
        <v>244</v>
      </c>
      <c r="P49" s="723">
        <v>203</v>
      </c>
      <c r="Q49" s="724">
        <v>3773</v>
      </c>
      <c r="R49" s="725">
        <v>3214</v>
      </c>
      <c r="S49" s="726">
        <f t="shared" si="20"/>
        <v>1.2857142857142859E-3</v>
      </c>
      <c r="T49" s="727">
        <f>T48+(T52-T45)/7</f>
        <v>4.814285714285714E-2</v>
      </c>
      <c r="U49" s="722">
        <v>236</v>
      </c>
      <c r="V49" s="723">
        <v>194</v>
      </c>
      <c r="W49" s="724">
        <v>3281</v>
      </c>
      <c r="X49" s="725">
        <v>2807</v>
      </c>
      <c r="Y49" s="726">
        <f t="shared" si="21"/>
        <v>1.3428571428571456E-3</v>
      </c>
      <c r="Z49" s="727">
        <f>Z48+(Z52-Z45)/7</f>
        <v>5.0971428571428584E-2</v>
      </c>
      <c r="AA49" s="722">
        <v>223</v>
      </c>
      <c r="AB49" s="723">
        <v>184</v>
      </c>
      <c r="AC49" s="724">
        <v>3108</v>
      </c>
      <c r="AD49" s="725">
        <v>2659</v>
      </c>
      <c r="AE49" s="726">
        <f t="shared" si="22"/>
        <v>1.4285714285714318E-3</v>
      </c>
      <c r="AF49" s="727">
        <f>AF48+(AF52-AF45)/7</f>
        <v>5.3214285714285728E-2</v>
      </c>
    </row>
    <row r="50" spans="2:32" x14ac:dyDescent="0.2">
      <c r="B50" s="715">
        <f t="shared" si="18"/>
        <v>47</v>
      </c>
      <c r="C50" s="722">
        <v>255</v>
      </c>
      <c r="D50" s="723">
        <v>207</v>
      </c>
      <c r="E50" s="724">
        <v>3574</v>
      </c>
      <c r="F50" s="725">
        <v>3067</v>
      </c>
      <c r="G50" s="726">
        <f t="shared" si="23"/>
        <v>1.7142857142857099E-3</v>
      </c>
      <c r="H50" s="727">
        <f>H49+(H52-H45)/7</f>
        <v>6.4571428571428571E-2</v>
      </c>
      <c r="I50" s="722">
        <v>248</v>
      </c>
      <c r="J50" s="723">
        <v>207</v>
      </c>
      <c r="K50" s="724">
        <v>3542</v>
      </c>
      <c r="L50" s="725">
        <v>3002</v>
      </c>
      <c r="M50" s="726">
        <f t="shared" si="19"/>
        <v>1.2857142857142859E-3</v>
      </c>
      <c r="N50" s="727">
        <f>N49+(N52-N45)/7</f>
        <v>4.9428571428571426E-2</v>
      </c>
      <c r="O50" s="722">
        <v>247</v>
      </c>
      <c r="P50" s="723">
        <v>205</v>
      </c>
      <c r="Q50" s="724">
        <v>3886</v>
      </c>
      <c r="R50" s="725">
        <v>3301</v>
      </c>
      <c r="S50" s="726">
        <f t="shared" si="20"/>
        <v>1.2857142857142859E-3</v>
      </c>
      <c r="T50" s="727">
        <f>T49+(T52-T45)/7</f>
        <v>4.9428571428571426E-2</v>
      </c>
      <c r="U50" s="722">
        <v>239</v>
      </c>
      <c r="V50" s="723">
        <v>197</v>
      </c>
      <c r="W50" s="724">
        <v>3380</v>
      </c>
      <c r="X50" s="725">
        <v>2883</v>
      </c>
      <c r="Y50" s="726">
        <f t="shared" si="21"/>
        <v>1.3428571428571456E-3</v>
      </c>
      <c r="Z50" s="727">
        <f>Z49+(Z52-Z45)/7</f>
        <v>5.231428571428573E-2</v>
      </c>
      <c r="AA50" s="722">
        <v>226</v>
      </c>
      <c r="AB50" s="723">
        <v>186</v>
      </c>
      <c r="AC50" s="724">
        <v>3202</v>
      </c>
      <c r="AD50" s="725">
        <v>2731</v>
      </c>
      <c r="AE50" s="726">
        <f t="shared" si="22"/>
        <v>1.4285714285714318E-3</v>
      </c>
      <c r="AF50" s="727">
        <f>AF49+(AF52-AF45)/7</f>
        <v>5.464285714285716E-2</v>
      </c>
    </row>
    <row r="51" spans="2:32" x14ac:dyDescent="0.2">
      <c r="B51" s="715">
        <f t="shared" si="18"/>
        <v>48</v>
      </c>
      <c r="C51" s="722">
        <v>265</v>
      </c>
      <c r="D51" s="723">
        <v>208</v>
      </c>
      <c r="E51" s="724">
        <v>3680</v>
      </c>
      <c r="F51" s="725">
        <v>3147</v>
      </c>
      <c r="G51" s="726">
        <f t="shared" si="23"/>
        <v>1.7142857142857099E-3</v>
      </c>
      <c r="H51" s="727">
        <f>H50+(H52-H45)/7</f>
        <v>6.6285714285714281E-2</v>
      </c>
      <c r="I51" s="722">
        <v>251</v>
      </c>
      <c r="J51" s="723">
        <v>209</v>
      </c>
      <c r="K51" s="724">
        <v>3646</v>
      </c>
      <c r="L51" s="725">
        <v>3084</v>
      </c>
      <c r="M51" s="726">
        <f t="shared" si="19"/>
        <v>1.2857142857142859E-3</v>
      </c>
      <c r="N51" s="727">
        <f>N50+(N52-N45)/7</f>
        <v>5.0714285714285712E-2</v>
      </c>
      <c r="O51" s="722">
        <v>249</v>
      </c>
      <c r="P51" s="723">
        <v>206</v>
      </c>
      <c r="Q51" s="724">
        <v>3998</v>
      </c>
      <c r="R51" s="725">
        <v>3387</v>
      </c>
      <c r="S51" s="726">
        <f t="shared" si="20"/>
        <v>1.2857142857142859E-3</v>
      </c>
      <c r="T51" s="727">
        <f>T50+(T52-T45)/7</f>
        <v>5.0714285714285712E-2</v>
      </c>
      <c r="U51" s="722">
        <v>245</v>
      </c>
      <c r="V51" s="723">
        <v>198</v>
      </c>
      <c r="W51" s="724">
        <v>3480</v>
      </c>
      <c r="X51" s="725">
        <v>2959</v>
      </c>
      <c r="Y51" s="726">
        <f t="shared" si="21"/>
        <v>1.3428571428571456E-3</v>
      </c>
      <c r="Z51" s="727">
        <f>Z50+(Z52-Z45)/7</f>
        <v>5.3657142857142875E-2</v>
      </c>
      <c r="AA51" s="722">
        <v>232</v>
      </c>
      <c r="AB51" s="723">
        <v>188</v>
      </c>
      <c r="AC51" s="724">
        <v>3297</v>
      </c>
      <c r="AD51" s="725">
        <v>2804</v>
      </c>
      <c r="AE51" s="726">
        <f t="shared" si="22"/>
        <v>1.4285714285714318E-3</v>
      </c>
      <c r="AF51" s="727">
        <f>AF50+(AF52-AF45)/7</f>
        <v>5.6071428571428591E-2</v>
      </c>
    </row>
    <row r="52" spans="2:32" x14ac:dyDescent="0.2">
      <c r="B52" s="715">
        <f t="shared" si="18"/>
        <v>49</v>
      </c>
      <c r="C52" s="722">
        <v>270</v>
      </c>
      <c r="D52" s="723">
        <v>209</v>
      </c>
      <c r="E52" s="724">
        <v>3786</v>
      </c>
      <c r="F52" s="725">
        <v>3226</v>
      </c>
      <c r="G52" s="726">
        <f t="shared" si="23"/>
        <v>1.7142857142857237E-3</v>
      </c>
      <c r="H52" s="728">
        <v>6.8000000000000005E-2</v>
      </c>
      <c r="I52" s="722">
        <v>253</v>
      </c>
      <c r="J52" s="723">
        <v>211</v>
      </c>
      <c r="K52" s="724">
        <v>3750</v>
      </c>
      <c r="L52" s="725">
        <v>3165</v>
      </c>
      <c r="M52" s="726">
        <f t="shared" si="19"/>
        <v>1.2857142857142859E-3</v>
      </c>
      <c r="N52" s="728">
        <v>5.1999999999999998E-2</v>
      </c>
      <c r="O52" s="722">
        <v>252</v>
      </c>
      <c r="P52" s="723">
        <v>208</v>
      </c>
      <c r="Q52" s="724">
        <v>4109</v>
      </c>
      <c r="R52" s="725">
        <v>3473</v>
      </c>
      <c r="S52" s="726">
        <f t="shared" si="20"/>
        <v>1.2857142857142859E-3</v>
      </c>
      <c r="T52" s="728">
        <v>5.1999999999999998E-2</v>
      </c>
      <c r="U52" s="722">
        <v>248</v>
      </c>
      <c r="V52" s="723">
        <v>200</v>
      </c>
      <c r="W52" s="724">
        <v>3580</v>
      </c>
      <c r="X52" s="725">
        <v>3036</v>
      </c>
      <c r="Y52" s="726">
        <f t="shared" si="21"/>
        <v>1.3428571428571248E-3</v>
      </c>
      <c r="Z52" s="728">
        <v>5.5E-2</v>
      </c>
      <c r="AA52" s="722">
        <v>235</v>
      </c>
      <c r="AB52" s="723">
        <v>189</v>
      </c>
      <c r="AC52" s="724">
        <v>3391</v>
      </c>
      <c r="AD52" s="725">
        <v>2876</v>
      </c>
      <c r="AE52" s="726">
        <f t="shared" si="22"/>
        <v>1.428571428571411E-3</v>
      </c>
      <c r="AF52" s="728">
        <v>5.7500000000000002E-2</v>
      </c>
    </row>
    <row r="53" spans="2:32" x14ac:dyDescent="0.2">
      <c r="B53" s="715">
        <f t="shared" si="18"/>
        <v>50</v>
      </c>
      <c r="C53" s="722">
        <v>265</v>
      </c>
      <c r="D53" s="723">
        <v>209</v>
      </c>
      <c r="E53" s="724">
        <v>3885</v>
      </c>
      <c r="F53" s="725">
        <v>3300</v>
      </c>
      <c r="G53" s="726">
        <f t="shared" si="23"/>
        <v>2.1428571428571408E-3</v>
      </c>
      <c r="H53" s="727">
        <f>H52+(H59-H52)/7</f>
        <v>7.0142857142857146E-2</v>
      </c>
      <c r="I53" s="722">
        <v>256</v>
      </c>
      <c r="J53" s="723">
        <v>213</v>
      </c>
      <c r="K53" s="724">
        <v>3847</v>
      </c>
      <c r="L53" s="725">
        <v>3240</v>
      </c>
      <c r="M53" s="726">
        <f t="shared" si="19"/>
        <v>1.7142857142857168E-3</v>
      </c>
      <c r="N53" s="727">
        <f>N52+(N59-N52)/7</f>
        <v>5.3714285714285714E-2</v>
      </c>
      <c r="O53" s="722">
        <v>254</v>
      </c>
      <c r="P53" s="723">
        <v>209</v>
      </c>
      <c r="Q53" s="724">
        <v>4219</v>
      </c>
      <c r="R53" s="725">
        <v>3557</v>
      </c>
      <c r="S53" s="726">
        <f t="shared" si="20"/>
        <v>1.7142857142857168E-3</v>
      </c>
      <c r="T53" s="727">
        <f>T52+(T59-T52)/7</f>
        <v>5.3714285714285714E-2</v>
      </c>
      <c r="U53" s="722">
        <v>247</v>
      </c>
      <c r="V53" s="723">
        <v>200</v>
      </c>
      <c r="W53" s="724">
        <v>3673</v>
      </c>
      <c r="X53" s="725">
        <v>3106</v>
      </c>
      <c r="Y53" s="726">
        <f t="shared" si="21"/>
        <v>1.4285714285714318E-3</v>
      </c>
      <c r="Z53" s="727">
        <f>Z52+(Z59-Z52)/7</f>
        <v>5.6428571428571432E-2</v>
      </c>
      <c r="AA53" s="722">
        <v>234</v>
      </c>
      <c r="AB53" s="723">
        <v>190</v>
      </c>
      <c r="AC53" s="724">
        <v>3480</v>
      </c>
      <c r="AD53" s="725">
        <v>2943</v>
      </c>
      <c r="AE53" s="726">
        <f t="shared" si="22"/>
        <v>1.7857142857142863E-3</v>
      </c>
      <c r="AF53" s="727">
        <f>AF52+(AF59-AF52)/7</f>
        <v>5.9285714285714289E-2</v>
      </c>
    </row>
    <row r="54" spans="2:32" x14ac:dyDescent="0.2">
      <c r="B54" s="715">
        <f t="shared" si="18"/>
        <v>51</v>
      </c>
      <c r="C54" s="722">
        <v>265</v>
      </c>
      <c r="D54" s="723">
        <v>213</v>
      </c>
      <c r="E54" s="724">
        <v>3985</v>
      </c>
      <c r="F54" s="725">
        <v>3373</v>
      </c>
      <c r="G54" s="726">
        <f t="shared" si="23"/>
        <v>2.1428571428571408E-3</v>
      </c>
      <c r="H54" s="727">
        <f>H53+(H59-H52)/7</f>
        <v>7.2285714285714286E-2</v>
      </c>
      <c r="I54" s="722">
        <v>258</v>
      </c>
      <c r="J54" s="723">
        <v>214</v>
      </c>
      <c r="K54" s="724">
        <v>3945</v>
      </c>
      <c r="L54" s="725">
        <v>3315</v>
      </c>
      <c r="M54" s="726">
        <f t="shared" si="19"/>
        <v>1.7142857142857168E-3</v>
      </c>
      <c r="N54" s="727">
        <f>N53+(N59-N52)/7</f>
        <v>5.5428571428571431E-2</v>
      </c>
      <c r="O54" s="722">
        <v>256</v>
      </c>
      <c r="P54" s="723">
        <v>211</v>
      </c>
      <c r="Q54" s="724">
        <v>4328</v>
      </c>
      <c r="R54" s="725">
        <v>3640</v>
      </c>
      <c r="S54" s="726">
        <f t="shared" si="20"/>
        <v>1.7142857142857168E-3</v>
      </c>
      <c r="T54" s="727">
        <f>T53+(T59-T52)/7</f>
        <v>5.5428571428571431E-2</v>
      </c>
      <c r="U54" s="722">
        <v>248</v>
      </c>
      <c r="V54" s="723">
        <v>203</v>
      </c>
      <c r="W54" s="724">
        <v>3766</v>
      </c>
      <c r="X54" s="725">
        <v>3177</v>
      </c>
      <c r="Y54" s="726">
        <f t="shared" si="21"/>
        <v>1.4285714285714318E-3</v>
      </c>
      <c r="Z54" s="727">
        <f>Z53+(Z59-Z52)/7</f>
        <v>5.7857142857142864E-2</v>
      </c>
      <c r="AA54" s="722">
        <v>235</v>
      </c>
      <c r="AB54" s="723">
        <v>192</v>
      </c>
      <c r="AC54" s="724">
        <v>3568</v>
      </c>
      <c r="AD54" s="725">
        <v>3010</v>
      </c>
      <c r="AE54" s="726">
        <f t="shared" si="22"/>
        <v>1.7857142857142863E-3</v>
      </c>
      <c r="AF54" s="727">
        <f>AF53+(AF59-AF52)/7</f>
        <v>6.1071428571428575E-2</v>
      </c>
    </row>
    <row r="55" spans="2:32" x14ac:dyDescent="0.2">
      <c r="B55" s="715">
        <f t="shared" si="18"/>
        <v>52</v>
      </c>
      <c r="C55" s="722">
        <v>265</v>
      </c>
      <c r="D55" s="723">
        <v>215</v>
      </c>
      <c r="E55" s="724">
        <v>4084</v>
      </c>
      <c r="F55" s="725">
        <v>3447</v>
      </c>
      <c r="G55" s="726">
        <f t="shared" si="23"/>
        <v>2.1428571428571408E-3</v>
      </c>
      <c r="H55" s="727">
        <f>H54+(H59-H52)/7</f>
        <v>7.4428571428571427E-2</v>
      </c>
      <c r="I55" s="722">
        <v>260</v>
      </c>
      <c r="J55" s="723">
        <v>216</v>
      </c>
      <c r="K55" s="724">
        <v>4042</v>
      </c>
      <c r="L55" s="725">
        <v>3390</v>
      </c>
      <c r="M55" s="726">
        <f t="shared" si="19"/>
        <v>1.7142857142857168E-3</v>
      </c>
      <c r="N55" s="727">
        <f>N54+(N59-N52)/7</f>
        <v>5.7142857142857148E-2</v>
      </c>
      <c r="O55" s="722">
        <v>257</v>
      </c>
      <c r="P55" s="723">
        <v>212</v>
      </c>
      <c r="Q55" s="724">
        <v>4436</v>
      </c>
      <c r="R55" s="725">
        <v>3722</v>
      </c>
      <c r="S55" s="726">
        <f t="shared" si="20"/>
        <v>1.7142857142857168E-3</v>
      </c>
      <c r="T55" s="727">
        <f>T54+(T59-T52)/7</f>
        <v>5.7142857142857148E-2</v>
      </c>
      <c r="U55" s="722">
        <v>249</v>
      </c>
      <c r="V55" s="723">
        <v>205</v>
      </c>
      <c r="W55" s="724">
        <v>3860</v>
      </c>
      <c r="X55" s="725">
        <v>3248</v>
      </c>
      <c r="Y55" s="726">
        <f t="shared" si="21"/>
        <v>1.4285714285714318E-3</v>
      </c>
      <c r="Z55" s="727">
        <f>Z54+(Z59-Z52)/7</f>
        <v>5.9285714285714296E-2</v>
      </c>
      <c r="AA55" s="722">
        <v>236</v>
      </c>
      <c r="AB55" s="723">
        <v>194</v>
      </c>
      <c r="AC55" s="724">
        <v>3657</v>
      </c>
      <c r="AD55" s="725">
        <v>3077</v>
      </c>
      <c r="AE55" s="726">
        <f t="shared" si="22"/>
        <v>1.7857142857142863E-3</v>
      </c>
      <c r="AF55" s="727">
        <f>AF54+(AF59-AF52)/7</f>
        <v>6.2857142857142861E-2</v>
      </c>
    </row>
    <row r="56" spans="2:32" x14ac:dyDescent="0.2">
      <c r="B56" s="715">
        <f t="shared" si="18"/>
        <v>53</v>
      </c>
      <c r="C56" s="722">
        <v>265</v>
      </c>
      <c r="D56" s="723">
        <v>219</v>
      </c>
      <c r="E56" s="724">
        <v>4183</v>
      </c>
      <c r="F56" s="725">
        <v>3520</v>
      </c>
      <c r="G56" s="726">
        <f t="shared" si="23"/>
        <v>2.1428571428571408E-3</v>
      </c>
      <c r="H56" s="727">
        <f>H55+(H59-H52)/7</f>
        <v>7.6571428571428568E-2</v>
      </c>
      <c r="I56" s="722">
        <v>261</v>
      </c>
      <c r="J56" s="723">
        <v>217</v>
      </c>
      <c r="K56" s="724">
        <v>4139</v>
      </c>
      <c r="L56" s="725">
        <v>3466</v>
      </c>
      <c r="M56" s="726">
        <f t="shared" si="19"/>
        <v>1.7142857142857168E-3</v>
      </c>
      <c r="N56" s="727">
        <f>N55+(N59-N52)/7</f>
        <v>5.8857142857142865E-2</v>
      </c>
      <c r="O56" s="722">
        <v>259</v>
      </c>
      <c r="P56" s="723">
        <v>213</v>
      </c>
      <c r="Q56" s="724">
        <v>4542</v>
      </c>
      <c r="R56" s="725">
        <v>3803</v>
      </c>
      <c r="S56" s="726">
        <f t="shared" si="20"/>
        <v>1.7142857142857168E-3</v>
      </c>
      <c r="T56" s="727">
        <f>T55+(T59-T52)/7</f>
        <v>5.8857142857142865E-2</v>
      </c>
      <c r="U56" s="722">
        <v>250</v>
      </c>
      <c r="V56" s="723">
        <v>207</v>
      </c>
      <c r="W56" s="724">
        <v>3953</v>
      </c>
      <c r="X56" s="725">
        <v>3318</v>
      </c>
      <c r="Y56" s="726">
        <f t="shared" si="21"/>
        <v>1.4285714285714318E-3</v>
      </c>
      <c r="Z56" s="727">
        <f>Z55+(Z59-Z52)/7</f>
        <v>6.0714285714285728E-2</v>
      </c>
      <c r="AA56" s="722">
        <v>237</v>
      </c>
      <c r="AB56" s="723">
        <v>196</v>
      </c>
      <c r="AC56" s="724">
        <v>3745</v>
      </c>
      <c r="AD56" s="725">
        <v>3144</v>
      </c>
      <c r="AE56" s="726">
        <f t="shared" si="22"/>
        <v>1.7857142857142794E-3</v>
      </c>
      <c r="AF56" s="727">
        <f>AF55+(AF59-AF52)/7</f>
        <v>6.4642857142857141E-2</v>
      </c>
    </row>
    <row r="57" spans="2:32" x14ac:dyDescent="0.2">
      <c r="B57" s="715">
        <f t="shared" si="18"/>
        <v>54</v>
      </c>
      <c r="C57" s="722">
        <v>265</v>
      </c>
      <c r="D57" s="723">
        <v>221</v>
      </c>
      <c r="E57" s="724">
        <v>4282</v>
      </c>
      <c r="F57" s="725">
        <v>3594</v>
      </c>
      <c r="G57" s="726">
        <f t="shared" si="23"/>
        <v>2.1428571428571408E-3</v>
      </c>
      <c r="H57" s="727">
        <f>H56+(H59-H52)/7</f>
        <v>7.8714285714285709E-2</v>
      </c>
      <c r="I57" s="722">
        <v>263</v>
      </c>
      <c r="J57" s="723">
        <v>218</v>
      </c>
      <c r="K57" s="724">
        <v>4236</v>
      </c>
      <c r="L57" s="725">
        <v>3541</v>
      </c>
      <c r="M57" s="726">
        <f t="shared" si="19"/>
        <v>1.7142857142857168E-3</v>
      </c>
      <c r="N57" s="727">
        <f>N56+(N59-N52)/7</f>
        <v>6.0571428571428582E-2</v>
      </c>
      <c r="O57" s="722">
        <v>260</v>
      </c>
      <c r="P57" s="723">
        <v>214</v>
      </c>
      <c r="Q57" s="724">
        <v>4647</v>
      </c>
      <c r="R57" s="725">
        <v>3883</v>
      </c>
      <c r="S57" s="726">
        <f t="shared" si="20"/>
        <v>1.7142857142857168E-3</v>
      </c>
      <c r="T57" s="727">
        <f>T56+(T59-T52)/7</f>
        <v>6.0571428571428582E-2</v>
      </c>
      <c r="U57" s="722">
        <v>251</v>
      </c>
      <c r="V57" s="723">
        <v>209</v>
      </c>
      <c r="W57" s="724">
        <v>4046</v>
      </c>
      <c r="X57" s="725">
        <v>3389</v>
      </c>
      <c r="Y57" s="726">
        <f t="shared" si="21"/>
        <v>1.4285714285714318E-3</v>
      </c>
      <c r="Z57" s="727">
        <f>Z56+(Z59-Z52)/7</f>
        <v>6.2142857142857159E-2</v>
      </c>
      <c r="AA57" s="722">
        <v>238</v>
      </c>
      <c r="AB57" s="723">
        <v>198</v>
      </c>
      <c r="AC57" s="724">
        <v>3833</v>
      </c>
      <c r="AD57" s="725">
        <v>3211</v>
      </c>
      <c r="AE57" s="726">
        <f t="shared" si="22"/>
        <v>1.7857142857142794E-3</v>
      </c>
      <c r="AF57" s="727">
        <f>AF56+(AF59-AF52)/7</f>
        <v>6.642857142857142E-2</v>
      </c>
    </row>
    <row r="58" spans="2:32" x14ac:dyDescent="0.2">
      <c r="B58" s="715">
        <f t="shared" si="18"/>
        <v>55</v>
      </c>
      <c r="C58" s="722">
        <v>265</v>
      </c>
      <c r="D58" s="723">
        <v>225</v>
      </c>
      <c r="E58" s="724">
        <v>4382</v>
      </c>
      <c r="F58" s="725">
        <v>3667</v>
      </c>
      <c r="G58" s="726">
        <f t="shared" si="23"/>
        <v>2.1428571428571408E-3</v>
      </c>
      <c r="H58" s="727">
        <f>H57+(H59-H52)/7</f>
        <v>8.085714285714285E-2</v>
      </c>
      <c r="I58" s="722">
        <v>264</v>
      </c>
      <c r="J58" s="723">
        <v>218</v>
      </c>
      <c r="K58" s="724">
        <v>4334</v>
      </c>
      <c r="L58" s="725">
        <v>3616</v>
      </c>
      <c r="M58" s="726">
        <f t="shared" si="19"/>
        <v>1.7142857142857168E-3</v>
      </c>
      <c r="N58" s="727">
        <f>N57+(N59-N52)/7</f>
        <v>6.2285714285714298E-2</v>
      </c>
      <c r="O58" s="722">
        <v>261</v>
      </c>
      <c r="P58" s="723">
        <v>214</v>
      </c>
      <c r="Q58" s="724">
        <v>4751</v>
      </c>
      <c r="R58" s="725">
        <v>3961</v>
      </c>
      <c r="S58" s="726">
        <f t="shared" si="20"/>
        <v>1.7142857142857168E-3</v>
      </c>
      <c r="T58" s="727">
        <f>T57+(T59-T52)/7</f>
        <v>6.2285714285714298E-2</v>
      </c>
      <c r="U58" s="722">
        <v>251</v>
      </c>
      <c r="V58" s="723">
        <v>210</v>
      </c>
      <c r="W58" s="724">
        <v>4140</v>
      </c>
      <c r="X58" s="725">
        <v>3460</v>
      </c>
      <c r="Y58" s="726">
        <f t="shared" si="21"/>
        <v>1.4285714285714249E-3</v>
      </c>
      <c r="Z58" s="727">
        <f>Z57+(Z59-Z52)/7</f>
        <v>6.3571428571428584E-2</v>
      </c>
      <c r="AA58" s="722">
        <v>238</v>
      </c>
      <c r="AB58" s="723">
        <v>199</v>
      </c>
      <c r="AC58" s="724">
        <v>3922</v>
      </c>
      <c r="AD58" s="725">
        <v>3277</v>
      </c>
      <c r="AE58" s="726">
        <f t="shared" si="22"/>
        <v>1.7857142857142794E-3</v>
      </c>
      <c r="AF58" s="727">
        <f>AF57+(AF59-AF52)/7</f>
        <v>6.82142857142857E-2</v>
      </c>
    </row>
    <row r="59" spans="2:32" ht="13.5" thickBot="1" x14ac:dyDescent="0.25">
      <c r="B59" s="715">
        <f t="shared" si="18"/>
        <v>56</v>
      </c>
      <c r="C59" s="729">
        <v>265</v>
      </c>
      <c r="D59" s="730">
        <v>225</v>
      </c>
      <c r="E59" s="731">
        <v>4481</v>
      </c>
      <c r="F59" s="732">
        <v>3741</v>
      </c>
      <c r="G59" s="733">
        <f>H59-H58</f>
        <v>2.1428571428571547E-3</v>
      </c>
      <c r="H59" s="734">
        <v>8.3000000000000004E-2</v>
      </c>
      <c r="I59" s="729">
        <v>265</v>
      </c>
      <c r="J59" s="730">
        <v>219</v>
      </c>
      <c r="K59" s="731">
        <v>4431</v>
      </c>
      <c r="L59" s="732">
        <v>3691</v>
      </c>
      <c r="M59" s="733">
        <f>N59-N58</f>
        <v>1.7142857142857029E-3</v>
      </c>
      <c r="N59" s="734">
        <v>6.4000000000000001E-2</v>
      </c>
      <c r="O59" s="729">
        <v>262</v>
      </c>
      <c r="P59" s="730">
        <v>215</v>
      </c>
      <c r="Q59" s="731">
        <v>4853</v>
      </c>
      <c r="R59" s="732">
        <v>4038</v>
      </c>
      <c r="S59" s="733">
        <f>T59-T58</f>
        <v>1.7142857142857029E-3</v>
      </c>
      <c r="T59" s="734">
        <v>6.4000000000000001E-2</v>
      </c>
      <c r="U59" s="729">
        <v>252</v>
      </c>
      <c r="V59" s="730">
        <v>211</v>
      </c>
      <c r="W59" s="731">
        <v>4233</v>
      </c>
      <c r="X59" s="732">
        <v>3530</v>
      </c>
      <c r="Y59" s="733">
        <f>Z59-Z58</f>
        <v>1.4285714285714179E-3</v>
      </c>
      <c r="Z59" s="734">
        <v>6.5000000000000002E-2</v>
      </c>
      <c r="AA59" s="729">
        <v>239</v>
      </c>
      <c r="AB59" s="730">
        <v>200</v>
      </c>
      <c r="AC59" s="731">
        <v>4010</v>
      </c>
      <c r="AD59" s="732">
        <v>3344</v>
      </c>
      <c r="AE59" s="733">
        <f>AF59-AF58</f>
        <v>1.7857142857143071E-3</v>
      </c>
      <c r="AF59" s="734">
        <v>7.0000000000000007E-2</v>
      </c>
    </row>
    <row r="60" spans="2:32" x14ac:dyDescent="0.2">
      <c r="G60" s="735"/>
      <c r="H60" s="735"/>
      <c r="M60" s="735"/>
      <c r="N60" s="735"/>
      <c r="R60" s="735"/>
      <c r="S60" s="735"/>
      <c r="T60" s="735"/>
      <c r="Y60" s="735"/>
      <c r="Z60" s="735"/>
      <c r="AE60" s="735"/>
      <c r="AF60" s="735"/>
    </row>
    <row r="61" spans="2:32" x14ac:dyDescent="0.2">
      <c r="C61" s="706" t="s">
        <v>49</v>
      </c>
      <c r="D61" s="706" t="s">
        <v>49</v>
      </c>
      <c r="E61" s="706" t="s">
        <v>49</v>
      </c>
      <c r="F61" s="706" t="s">
        <v>49</v>
      </c>
      <c r="G61" s="706" t="s">
        <v>49</v>
      </c>
      <c r="H61" s="706" t="s">
        <v>49</v>
      </c>
      <c r="I61" s="706" t="s">
        <v>49</v>
      </c>
      <c r="J61" s="706" t="s">
        <v>49</v>
      </c>
      <c r="K61" s="706" t="s">
        <v>49</v>
      </c>
      <c r="L61" s="706" t="s">
        <v>49</v>
      </c>
      <c r="M61" s="706" t="s">
        <v>49</v>
      </c>
      <c r="N61" s="706" t="s">
        <v>49</v>
      </c>
      <c r="O61" s="706" t="s">
        <v>49</v>
      </c>
      <c r="P61" s="706" t="s">
        <v>49</v>
      </c>
      <c r="Q61" s="706" t="s">
        <v>49</v>
      </c>
      <c r="R61" s="706" t="s">
        <v>49</v>
      </c>
      <c r="S61" s="706" t="s">
        <v>49</v>
      </c>
      <c r="T61" s="706" t="s">
        <v>49</v>
      </c>
      <c r="U61" s="706" t="s">
        <v>49</v>
      </c>
      <c r="V61" s="706" t="s">
        <v>49</v>
      </c>
      <c r="W61" s="706" t="s">
        <v>49</v>
      </c>
      <c r="X61" s="706" t="s">
        <v>49</v>
      </c>
      <c r="Y61" s="706" t="s">
        <v>49</v>
      </c>
      <c r="Z61" s="706" t="s">
        <v>49</v>
      </c>
      <c r="AA61" s="706" t="s">
        <v>49</v>
      </c>
      <c r="AB61" s="706" t="s">
        <v>49</v>
      </c>
      <c r="AC61" s="706" t="s">
        <v>49</v>
      </c>
      <c r="AD61" s="706" t="s">
        <v>49</v>
      </c>
      <c r="AE61" s="706" t="s">
        <v>49</v>
      </c>
      <c r="AF61" s="706" t="s">
        <v>49</v>
      </c>
    </row>
  </sheetData>
  <sheetProtection algorithmName="SHA-512" hashValue="NKOwbt6Vgctsxrx3icK1B+L06RSb6jIgkDCoDsIpEh2Lai4mV2Ved0VAdgtKEd4M9L1wmMZAD8q6ClDZX9U0hA==" saltValue="DGsa9Lu4/6SBXxD7GEDDQg==" spinCount="100000" sheet="1" objects="1" scenarios="1"/>
  <mergeCells count="5">
    <mergeCell ref="C2:H2"/>
    <mergeCell ref="I2:N2"/>
    <mergeCell ref="O2:T2"/>
    <mergeCell ref="U2:Z2"/>
    <mergeCell ref="AA2:A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3 L p W W l D 3 b A G k A A A A 9 g A A A B I A H A B D b 2 5 m a W c v U G F j a 2 F n Z S 5 4 b W w g o h g A K K A U A A A A A A A A A A A A A A A A A A A A A A A A A A A A h Y 8 x D o I w G I W v Q r r T l o q J I T 9 l Y J V o Y m J c m 1 K h E Y q h x X I 3 B 4 / k F c Q o 6 u b 4 v v c N 7 9 2 v N 8 j G t g k u q r e 6 M y m K M E W B M r I r t a l S N L h j u E I Z h 6 2 Q J 1 G p Y J K N T U Z b p q h 2 7 p w Q 4 r 3 H f o G 7 v i K M 0 o g c i v V O 1 q o V 6 C P r / 3 K o j X X C S I U 4 7 F 9 j O M N R T H F M l 5 g C m S E U 2 n w F N u 1 9 t j 8 Q 8 q F x Q 6 + 4 s m G + A T J H I O 8 P / A F Q S w M E F A A C A A g A 3 L p W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y 6 V l o o i k e 4 D g A A A B E A A A A T A B w A R m 9 y b X V s Y X M v U 2 V j d G l v b j E u b S C i G A A o o B Q A A A A A A A A A A A A A A A A A A A A A A A A A A A A r T k 0 u y c z P U w i G 0 I b W A F B L A Q I t A B Q A A g A I A N y 6 V l p Q 9 2 w B p A A A A P Y A A A A S A A A A A A A A A A A A A A A A A A A A A A B D b 2 5 m a W c v U G F j a 2 F n Z S 5 4 b W x Q S w E C L Q A U A A I A C A D c u l Z a D 8 r p q 6 Q A A A D p A A A A E w A A A A A A A A A A A A A A A A D w A A A A W 0 N v b n R l b n R f V H l w Z X N d L n h t b F B L A Q I t A B Q A A g A I A N y 6 V l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V t f a j g O j m Q o i F Z 8 b c B d H z A A A A A A I A A A A A A B B m A A A A A Q A A I A A A A H C j Z 8 S r j / a H U o T 1 o U c J Q w n Y 1 o M 8 m I 3 I Z E W N J e X j 7 F K k A A A A A A 6 A A A A A A g A A I A A A A F J J 0 A u L I h f p U G Q z B T e 8 q 1 M V 8 4 n H b H t L W s j U Q 7 g E f B 8 e U A A A A K z O U e S Q k y 4 4 8 q D 1 d 3 F + H V r F B V C / i l c m f E A H c 1 h Z l J Z q y n t Q n W j W e Q 4 2 Z 5 8 p 9 7 R r t p E Z n s h S E x 4 5 K W 3 R S 7 w r I d z w h j 6 O l A j y K f f X R 7 / T S 0 1 E Q A A A A I S g q J 3 0 5 p Y w v 0 r m + s 8 N K r m b 6 N a Y 4 7 G Q p 2 W 3 5 t / 4 F E e M 2 L 6 4 X e a 3 F r b a U Z Z k O q t R x t P L 6 8 0 a 1 j X / p Y 1 + D 7 6 g Q c E = < / D a t a M a s h u p > 
</file>

<file path=customXml/itemProps1.xml><?xml version="1.0" encoding="utf-8"?>
<ds:datastoreItem xmlns:ds="http://schemas.openxmlformats.org/officeDocument/2006/customXml" ds:itemID="{0E347ACB-6EB7-4F47-8BF9-07432B9FC2D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8</vt:i4>
      </vt:variant>
      <vt:variant>
        <vt:lpstr>Gráficos</vt:lpstr>
      </vt:variant>
      <vt:variant>
        <vt:i4>8</vt:i4>
      </vt:variant>
      <vt:variant>
        <vt:lpstr>Rangos con nombre</vt:lpstr>
      </vt:variant>
      <vt:variant>
        <vt:i4>15</vt:i4>
      </vt:variant>
    </vt:vector>
  </HeadingPairs>
  <TitlesOfParts>
    <vt:vector size="31" baseType="lpstr">
      <vt:lpstr>G1</vt:lpstr>
      <vt:lpstr>G2</vt:lpstr>
      <vt:lpstr>G3</vt:lpstr>
      <vt:lpstr>G4</vt:lpstr>
      <vt:lpstr>Con</vt:lpstr>
      <vt:lpstr>Liq-Zoot</vt:lpstr>
      <vt:lpstr>COSTOS</vt:lpstr>
      <vt:lpstr>TK</vt:lpstr>
      <vt:lpstr>Cons Sem</vt:lpstr>
      <vt:lpstr>Cumpl Sem</vt:lpstr>
      <vt:lpstr>Cons Ac</vt:lpstr>
      <vt:lpstr>Pesos</vt:lpstr>
      <vt:lpstr>Cumpl Ac</vt:lpstr>
      <vt:lpstr>Eficiencia</vt:lpstr>
      <vt:lpstr>IP</vt:lpstr>
      <vt:lpstr>Biomasa</vt:lpstr>
      <vt:lpstr>Con!Área_de_impresión</vt:lpstr>
      <vt:lpstr>'G1'!Área_de_impresión</vt:lpstr>
      <vt:lpstr>'G2'!Área_de_impresión</vt:lpstr>
      <vt:lpstr>'G3'!Área_de_impresión</vt:lpstr>
      <vt:lpstr>'G4'!Área_de_impresión</vt:lpstr>
      <vt:lpstr>CV</vt:lpstr>
      <vt:lpstr>EFA</vt:lpstr>
      <vt:lpstr>IP</vt:lpstr>
      <vt:lpstr>RAZAS</vt:lpstr>
      <vt:lpstr>SUPV</vt:lpstr>
      <vt:lpstr>Con!Títulos_a_imprimir</vt:lpstr>
      <vt:lpstr>'G1'!Títulos_a_imprimir</vt:lpstr>
      <vt:lpstr>'G2'!Títulos_a_imprimir</vt:lpstr>
      <vt:lpstr>'G3'!Títulos_a_imprimir</vt:lpstr>
      <vt:lpstr>'G4'!Títulos_a_imprimir</vt:lpstr>
    </vt:vector>
  </TitlesOfParts>
  <Manager>FERNANDO ALMANZA</Manager>
  <Company>PRONAVICOLA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POLLO ENGORDE</dc:title>
  <dc:subject>REGISTRO PRONAVICOLA</dc:subject>
  <dc:creator>VICTOR HUGO MASSEY GOMEZ</dc:creator>
  <dc:description>HERRAMIENTA EN EXCEL PARA SER IMPLEMENTADA EN PAULANDIA</dc:description>
  <cp:lastModifiedBy>Victor Hugo Massey Gomez</cp:lastModifiedBy>
  <cp:revision>1</cp:revision>
  <cp:lastPrinted>2011-09-02T13:48:03Z</cp:lastPrinted>
  <dcterms:created xsi:type="dcterms:W3CDTF">1998-02-09T17:36:43Z</dcterms:created>
  <dcterms:modified xsi:type="dcterms:W3CDTF">2025-02-23T04:27:37Z</dcterms:modified>
  <cp:category>SERVICIO TECNICO</cp:category>
  <dc:language>ESPAÑOL</dc:language>
  <cp:version>PRELIMINAR</cp:version>
</cp:coreProperties>
</file>